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tabRatio="754" firstSheet="1" activeTab="13"/>
  </bookViews>
  <sheets>
    <sheet name="Meni" sheetId="1" r:id="rId1"/>
    <sheet name="Ulaz" sheetId="2" r:id="rId2"/>
    <sheet name="Analiza fin. pok." sheetId="3" r:id="rId3"/>
    <sheet name="Strukturalna analiza" sheetId="4" r:id="rId4"/>
    <sheet name="Bilansi" sheetId="5" r:id="rId5"/>
    <sheet name="Radna " sheetId="6" r:id="rId6"/>
    <sheet name="P,R, BU" sheetId="7" r:id="rId7"/>
    <sheet name="Proj. sredstava" sheetId="8" r:id="rId8"/>
    <sheet name="PNT" sheetId="9" r:id="rId9"/>
    <sheet name="PB stanja" sheetId="10" r:id="rId10"/>
    <sheet name="DF" sheetId="11" r:id="rId11"/>
    <sheet name="DNT" sheetId="12" r:id="rId12"/>
    <sheet name="Tekst" sheetId="13" r:id="rId13"/>
    <sheet name="Likvid" sheetId="14" r:id="rId14"/>
  </sheets>
  <externalReferences>
    <externalReference r:id="rId17"/>
    <externalReference r:id="rId18"/>
    <externalReference r:id="rId19"/>
  </externalReferences>
  <definedNames>
    <definedName name="_ftn1" localSheetId="12">'Tekst'!$B$1204</definedName>
    <definedName name="_ftn2" localSheetId="12">'Tekst'!$B$1205</definedName>
    <definedName name="_ftnref1" localSheetId="12">'Tekst'!$B$281</definedName>
    <definedName name="_ftnref2" localSheetId="12">'Tekst'!$B$1181</definedName>
    <definedName name="_xlnm.Print_Area" localSheetId="4">'Bilansi'!$B$98:$H$135</definedName>
    <definedName name="_xlnm.Print_Area" localSheetId="11">'DNT'!$B$3:$H$39</definedName>
    <definedName name="_xlnm.Print_Area" localSheetId="0">'Meni'!$B$6:$G$45</definedName>
    <definedName name="_xlnm.Print_Area" localSheetId="7">'Proj. sredstava'!$B$20:$N$38</definedName>
    <definedName name="_xlnm.Print_Area" localSheetId="5">'Radna '!$B$56:$R$66</definedName>
  </definedNames>
  <calcPr fullCalcOnLoad="1"/>
</workbook>
</file>

<file path=xl/sharedStrings.xml><?xml version="1.0" encoding="utf-8"?>
<sst xmlns="http://schemas.openxmlformats.org/spreadsheetml/2006/main" count="3662" uniqueCount="1496">
  <si>
    <t xml:space="preserve">  III. Odloženi revalorizacioni prihodi i negativni goodwill</t>
  </si>
  <si>
    <t>A. POSLOVNI PRIHODI I RASHODI
I.  Poslovni prihodi (202 +206+ 210 + 211 + 212 + 213)</t>
  </si>
  <si>
    <t>Smanjenje vrednosti zaliha učinaka
 iznad poslovnih prihoda perioda ( 214 - 201)</t>
  </si>
  <si>
    <t>III. Bruto poslovni dobitak ( 215 - 217 )</t>
  </si>
  <si>
    <t xml:space="preserve">B. FINANSIJSKI PRIHODI I RASHODI
I. Finansijski prihodi ( 239 do 242)                                    </t>
  </si>
  <si>
    <t>B. NEPOSLOVNI I VANREDNI PRIHODI I RASHODI
I. Neposlovni i vanredni prihodi ( 252 do 258 )</t>
  </si>
  <si>
    <t>6. Prihodi od smanjenja obaveza i ukidanja neiskorišćenih
    dugoročnih rezervisanja za rizike</t>
  </si>
  <si>
    <t>1. Gubici po osnovu rashodovanja, prodaje
    i otpisa osnovnih sredstava i nematerijalnih ulaganja</t>
  </si>
  <si>
    <t>G. REVALORIZACIONI PRIHODI I RASHODI 
I. Revalorizacioni prihodi ( 271 do 273 )</t>
  </si>
  <si>
    <t>D. BRUTO REZULTAT PREDUZECA
I. Bruto dobitak ( 236+249+268+278)</t>
  </si>
  <si>
    <t>Đ) DOBITAK I GUBITAK 
I. Dobitak ( 280-281)</t>
  </si>
  <si>
    <t>Ž) NETO REZULTAT PREDUZECA
I. Neto dobitak (282 -284)</t>
  </si>
  <si>
    <t xml:space="preserve">      Smanjenje vrednosti zaliha</t>
  </si>
  <si>
    <t>Osnovno stado</t>
  </si>
  <si>
    <t>OSNOVNO STADO</t>
  </si>
  <si>
    <t>Tabela: Pregled istorijskih podataka bilansa stanja - tekuće cene</t>
  </si>
  <si>
    <t>Racio pokrića kamate</t>
  </si>
  <si>
    <t>Pokriće stalnih sredstava sopstvenim kapit.</t>
  </si>
  <si>
    <t>Tabela: Pregled istorijskih bilansa uspeha - tekuće cene</t>
  </si>
  <si>
    <t xml:space="preserve">      Povećanje vrednosti zaliha</t>
  </si>
  <si>
    <t xml:space="preserve">      Troškovi materijala</t>
  </si>
  <si>
    <t xml:space="preserve">      Nedovršena proizvodnja</t>
  </si>
  <si>
    <t>Opšti racio likvidnosti</t>
  </si>
  <si>
    <t>hiljada dinara.</t>
  </si>
  <si>
    <t xml:space="preserve">odgovarajućih elemenata prihoda i rashoda i pretpostavljenih koeficijenata obrta. Na bazi analize </t>
  </si>
  <si>
    <t xml:space="preserve">zaključeno je da se postojeća visina koeficijenata obrta iz bazne godine ne može smatrati zadovoljavajućim, </t>
  </si>
  <si>
    <t xml:space="preserve">te su u godinama projekcije korišćeni pretpostavljeni koeficijenti obrta. Tako je pored “standardnih” </t>
  </si>
  <si>
    <t>u rezidualnom periodu). Utvrđena visina rezidualne vrednosti biće data prilikom prezentovanja osnovne i d</t>
  </si>
  <si>
    <t xml:space="preserve">onje i gornje granične DNT vrednosti. U sledećoj tabeli dat je obračun neto novčanog toka </t>
  </si>
  <si>
    <t>za rezidualni period.</t>
  </si>
  <si>
    <t>Iznos ili %</t>
  </si>
  <si>
    <t xml:space="preserve">Obuhvatanjem agregatnih iznosa svih ranije projektovanih pozicija dobijena je konačna </t>
  </si>
  <si>
    <t>projekcija bilansa stanja koja se daje u nastavku.</t>
  </si>
  <si>
    <t xml:space="preserve">Uvidom u visinu pojedinih pokazatelja po godinama projekcije i njihovim poređenjem sa </t>
  </si>
  <si>
    <t xml:space="preserve">utvrđenim vrednostima iz bazne godine može se zaključiti da je projekcija urađena realno. </t>
  </si>
  <si>
    <t xml:space="preserve">Naravno, projekcijama se predviđaju promene prinosne moći preduzeća, koje produkuju odgovarajuće </t>
  </si>
  <si>
    <t xml:space="preserve">promene strukture sredstava i izvora sredstava koje su uslovljene realno očekivanim porastom </t>
  </si>
  <si>
    <t xml:space="preserve">stepena iskorišćenosti kapaciteta. </t>
  </si>
  <si>
    <t xml:space="preserve">1. Veličina preduzeća </t>
  </si>
  <si>
    <t xml:space="preserve">2. Kvalitet organizacije, rukovodstva i kadrova </t>
  </si>
  <si>
    <t xml:space="preserve">3. Finansijski položaj </t>
  </si>
  <si>
    <t xml:space="preserve">4. Proizvodno-prodajni potencijal </t>
  </si>
  <si>
    <t xml:space="preserve">5. Mogućnost pouzdanog predviđanja poslovanja </t>
  </si>
  <si>
    <t xml:space="preserve">Preduzeće je razvrstano u grupu malih preduzeća i kao takvo poseduje viši nivo fleksibilnosti u odnosu na lomove u privrednom okruženju. </t>
  </si>
  <si>
    <t>Relativno razuđena organizaciona struktura preduzeća omogućava top menadžmentu uvid u sve elemente poslovanja, što dodatno doprinosi jakoj informacionoj osnovi za donošenje operativnih i strateških odluka, uz pretpostavku adekvatne upotrebe.</t>
  </si>
  <si>
    <t xml:space="preserve">Uzimajući u obzir očekivana kretanja kako na nivou privrede tako i na nivou grane povećana je pouzdanost predvidjanja, te se dati stepen rizika kvantifikuje u visini navedene stope. </t>
  </si>
  <si>
    <t xml:space="preserve">U skladu sa propisanom metodologijom osnovna DNT vrednost kapitala preduzeća utvrđena je kao </t>
  </si>
  <si>
    <t xml:space="preserve">zbir diskontovane vrednosti neto novčanih tokova iz projektovanog perioda i diskontovane rezidualne </t>
  </si>
  <si>
    <t>vrednosti. Diskontni faktori su utvrđeni na bazi obračunate diskontne stope od 1</t>
  </si>
  <si>
    <t>diskontni faktori za sredinu godine.</t>
  </si>
  <si>
    <t xml:space="preserve">S obzirom da delatnost preduzeća nije izrazito sezonskog karaktera, korišćeni su </t>
  </si>
  <si>
    <t xml:space="preserve">Metod likvidacione vrednosti zasnovan je na pretpostavci da preduzeće prestaje sa radom, što je </t>
  </si>
  <si>
    <t>osnovna razlika u odnosu na metod diskontovanja novčanih tokova koji pretpostavlja kontinuitet u poslovanju preduzeća.</t>
  </si>
  <si>
    <t xml:space="preserve">Procenjena vrednost kapitala metodom likvidacione vrednosti predstavalja razliku vrednosti koja </t>
  </si>
  <si>
    <t xml:space="preserve">bi se postigla prodajom poslovne imovine, po tržišnim cenama, u postupku redovne likvidacije, sa jedne, </t>
  </si>
  <si>
    <t xml:space="preserve">i ukupnih obaveza uvećanih za troškove likvidacije, sa druge strane. </t>
  </si>
  <si>
    <t>010</t>
  </si>
  <si>
    <t>011</t>
  </si>
  <si>
    <t xml:space="preserve">Da bi se osnovna sredstva uposlila i ostvario potreban kontinuitet proizvodnje i aktivnosti preduzeća, </t>
  </si>
  <si>
    <t>kao i planirani obim realizacije, potrebno je izvršiti i projekciju potrebnog nivoa trajnih obrtnih sredstava</t>
  </si>
  <si>
    <t xml:space="preserve">sredstva predstavljaju razliku između obrtnih sredstava i obaveza iz tekućeg poslovanja, pa se kao </t>
  </si>
  <si>
    <t xml:space="preserve">nužnost nameće prethodna projekcija pojedinih pozicija datih sredstava i izvora. </t>
  </si>
  <si>
    <t xml:space="preserve">koja će permanentno biti prisutna u toku projektovanog perioda. Računski posmatrano trajna obrtna </t>
  </si>
  <si>
    <t xml:space="preserve">Projekcija pojedinih pozicija obrtnih sredstava i obaveza iz tekućeg poslovanja izvršena je na bazi </t>
  </si>
  <si>
    <t xml:space="preserve">      Troškovi energenata</t>
  </si>
  <si>
    <t xml:space="preserve">      Troškovi bruto zarada</t>
  </si>
  <si>
    <t xml:space="preserve">      Troškovi proizvodnih usluga</t>
  </si>
  <si>
    <t xml:space="preserve">      Troškovi amortizacije</t>
  </si>
  <si>
    <t xml:space="preserve">      Nematerijalni troškovi</t>
  </si>
  <si>
    <t xml:space="preserve">      Troškovi poreza i doprinosa</t>
  </si>
  <si>
    <t>Osnovna sredstva, sadašnja vrednost / Poslovni prihodi</t>
  </si>
  <si>
    <t xml:space="preserve">      Prihodi od prodaje na domaćem tržištu</t>
  </si>
  <si>
    <t xml:space="preserve">      Prihodi od prodaje na inostranom tržištu</t>
  </si>
  <si>
    <t>Tabela: Analiza finansijske ravnoteže i likvidnosti</t>
  </si>
  <si>
    <t>Kratkoročne obaveze</t>
  </si>
  <si>
    <t xml:space="preserve">      Kratkoročni krediti</t>
  </si>
  <si>
    <t xml:space="preserve">      Dobavljači</t>
  </si>
  <si>
    <t xml:space="preserve">      Ostale kratkoročne obaveze</t>
  </si>
  <si>
    <t xml:space="preserve">      Pasivna vremenska razgraničenja</t>
  </si>
  <si>
    <t>Dugoročne obaveze</t>
  </si>
  <si>
    <t xml:space="preserve">       Dugoročni krediti</t>
  </si>
  <si>
    <t>DUGOROČNA REZERVISANJA</t>
  </si>
  <si>
    <t>Kratkoročna potraživanja i plasmani</t>
  </si>
  <si>
    <t xml:space="preserve">      Kratkoročna potraživanja</t>
  </si>
  <si>
    <t xml:space="preserve">      Kratkoročni plasmani</t>
  </si>
  <si>
    <t>Aktivna vremenska razgraničenja</t>
  </si>
  <si>
    <t>Dugoročni finansijski plasmani</t>
  </si>
  <si>
    <t>Dugoročni krediti</t>
  </si>
  <si>
    <t>Kratkročni krediti</t>
  </si>
  <si>
    <t>Stopa rasta neto novčnog toka u rezidualnom periodu</t>
  </si>
  <si>
    <t>Prosečna bruto zarada u baznoj godini po zaposlenom</t>
  </si>
  <si>
    <t>Očekivana promena tržišnog učešća</t>
  </si>
  <si>
    <t>Očekivana promena cena</t>
  </si>
  <si>
    <t>Očekivane realne promene cena</t>
  </si>
  <si>
    <t xml:space="preserve">Redukcija kratkoročnih kredita </t>
  </si>
  <si>
    <t>UŠTEDE NA MATERIJALU</t>
  </si>
  <si>
    <t>Kamatna stopa na dugoročne finansijske plasmane</t>
  </si>
  <si>
    <t>Stopa rasta neto novčanog toka u rezidualnom periodu</t>
  </si>
  <si>
    <t>Postojeći objekti</t>
  </si>
  <si>
    <t>Otplata dugoročnih kredita - prema ugovoru</t>
  </si>
  <si>
    <t>Troškovi</t>
  </si>
  <si>
    <t xml:space="preserve">Fiksni </t>
  </si>
  <si>
    <t>Učešće u poslovnim prihodi</t>
  </si>
  <si>
    <t>Troškovi materijala</t>
  </si>
  <si>
    <t>Troškovi proizvodnih usluga</t>
  </si>
  <si>
    <t>Troškovi energije</t>
  </si>
  <si>
    <t>Očekivane realne promene cena energije</t>
  </si>
  <si>
    <t>Tabela: Troškovi bruto zarada</t>
  </si>
  <si>
    <t>Prosečna bruto zarada /po radniku/ u baznoj godini:</t>
  </si>
  <si>
    <t>Ukupni troškovi zarada u baznoj godini:</t>
  </si>
  <si>
    <t>Očekivana stopa rasta realnih zarada u toku g.</t>
  </si>
  <si>
    <t>Očekivana visina prosečne bruto zarade</t>
  </si>
  <si>
    <t>Očekivana stopa rasta realnih zarada u toku godine</t>
  </si>
  <si>
    <t>Broj zaposlenih na početku godine</t>
  </si>
  <si>
    <t>Očekivano smanjenje zaposlenih - prir. odliv</t>
  </si>
  <si>
    <t>Očekivano smanjenje zaposlenih - teh. visak</t>
  </si>
  <si>
    <t>Očekivano povećanje broja zaposlenih</t>
  </si>
  <si>
    <t>Očekivani broj zaposlenih na kraju godine</t>
  </si>
  <si>
    <t>Projektovani troškovi bruto zarada (u 000 din)</t>
  </si>
  <si>
    <t>Tabela: Troškovi proizvodnih usluga</t>
  </si>
  <si>
    <t>Tabela: Projekcija nematerijalnih troškova</t>
  </si>
  <si>
    <t>Nematerijalni troškovi - ukupno</t>
  </si>
  <si>
    <t>Učešće u poslovnim prihodima</t>
  </si>
  <si>
    <t>Moguća stopa realnog rasta obima realizacije</t>
  </si>
  <si>
    <t>Rezultirajuća stopa rasta prihoda</t>
  </si>
  <si>
    <t>Očekivana realna promena cena</t>
  </si>
  <si>
    <t xml:space="preserve">Istorijsko učešće </t>
  </si>
  <si>
    <t>Prihodi od prodaje na domaćem tržištu</t>
  </si>
  <si>
    <t>Prihodi od prodaje na ino tržištu</t>
  </si>
  <si>
    <t>Tabela: Projekcija troškova materijala</t>
  </si>
  <si>
    <t>Varijabilni deo troškova materijala</t>
  </si>
  <si>
    <t>Fiksni deo troškova materijala</t>
  </si>
  <si>
    <t>Projektovani troškovi materijala</t>
  </si>
  <si>
    <t>Tabela: Projekcija troškova energije</t>
  </si>
  <si>
    <t>Fiksni deo troškova energije</t>
  </si>
  <si>
    <t>Varijabilni deo troškova energije</t>
  </si>
  <si>
    <t>Očekivano smanjenje zaposlenih - teh. višak</t>
  </si>
  <si>
    <t>Projektovani troškovi bruto zarada</t>
  </si>
  <si>
    <t>Tabela. Projekcija troškova proizvodnih usluga</t>
  </si>
  <si>
    <t>učešće u baznoj godini</t>
  </si>
  <si>
    <t xml:space="preserve">Troškovi proizvodnih usluga </t>
  </si>
  <si>
    <t>Tabela: Projekcija troškova amortizacije</t>
  </si>
  <si>
    <t xml:space="preserve">    Postojeći objekti</t>
  </si>
  <si>
    <t xml:space="preserve">    Nove investicije u zamenu i održavanje</t>
  </si>
  <si>
    <t xml:space="preserve">    Postojeća oprema</t>
  </si>
  <si>
    <t>Nematerijalni troškovi</t>
  </si>
  <si>
    <t>Kamate na kratkoročne kredite</t>
  </si>
  <si>
    <t>Kamate na dugoročne kredite</t>
  </si>
  <si>
    <t>Troškovi bruto zarada</t>
  </si>
  <si>
    <t>Trokovi proizvodnih usluga</t>
  </si>
  <si>
    <t>Trokovi amortizacije</t>
  </si>
  <si>
    <t>Nedovršena proizvodnja</t>
  </si>
  <si>
    <t>Obaveze za nematerijalne troškove</t>
  </si>
  <si>
    <t xml:space="preserve">     Nedovršena proizvodnja</t>
  </si>
  <si>
    <t>Obaveze za nematerijalne i ostale troškove</t>
  </si>
  <si>
    <t>Sadašnja vrednost</t>
  </si>
  <si>
    <t>Nabavna / Sadašnja vrednost</t>
  </si>
  <si>
    <t>419</t>
  </si>
  <si>
    <t>430</t>
  </si>
  <si>
    <t>431</t>
  </si>
  <si>
    <t>Projekcija poslovnih prihoda</t>
  </si>
  <si>
    <t>Projekcija troškova materijala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</si>
  <si>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000 din</t>
    </r>
  </si>
  <si>
    <t>Projekcija troškova energije</t>
  </si>
  <si>
    <t>136</t>
  </si>
  <si>
    <t>Projektovani troškovi energije</t>
  </si>
  <si>
    <t>Značajan rizik</t>
  </si>
  <si>
    <t xml:space="preserve">                   Fiksna komponenta</t>
  </si>
  <si>
    <t xml:space="preserve">                   Varijabilna komponenta</t>
  </si>
  <si>
    <t>Projekcija troškova proizvodnih usluga</t>
  </si>
  <si>
    <t>Obračun neto novčanog toka za rezidualnu vrednost</t>
  </si>
  <si>
    <t>Neto novčani tok u poslednjoj godini projekcije ( u 000 din )</t>
  </si>
  <si>
    <t>Koeficijent rasta neto novčanog toka u rezidualnom periodu</t>
  </si>
  <si>
    <t>Neto novčani tok za rezidualnu vrednost ( u 000 din )</t>
  </si>
  <si>
    <t xml:space="preserve"> - za tekuće poslovanje</t>
  </si>
  <si>
    <t>Pokriće stalnih sredstava sopstvenim kapitalom</t>
  </si>
  <si>
    <t xml:space="preserve">       Kratkoročna potraživanja</t>
  </si>
  <si>
    <t xml:space="preserve">       Kratkoročni plasmni</t>
  </si>
  <si>
    <t xml:space="preserve">       Nedovršena proizvodnja</t>
  </si>
  <si>
    <t>Dugoročni finanasijski plasmani</t>
  </si>
  <si>
    <t xml:space="preserve">     Kratkoročni krediti i druge kratkoročne fin. obaveze</t>
  </si>
  <si>
    <t xml:space="preserve">     Dobavljači</t>
  </si>
  <si>
    <t>ODNT</t>
  </si>
  <si>
    <t>GDNT</t>
  </si>
  <si>
    <t>DDNT</t>
  </si>
  <si>
    <t>OLV</t>
  </si>
  <si>
    <t>odluka o donjoj granici</t>
  </si>
  <si>
    <t>DGVK</t>
  </si>
  <si>
    <t>GGVK</t>
  </si>
  <si>
    <t xml:space="preserve">Ostali prihodi projektovani su u  srazmeri  prema ukupnom poslovnom prihodu u projektovanom periodu, što je na </t>
  </si>
  <si>
    <t>nivou prosečnog istorijskog učešća.</t>
  </si>
  <si>
    <t>Koeficijenti obrta korišćeni za projekciju</t>
  </si>
  <si>
    <t>Kategorije obrtnih sredstava/kratkoročnih</t>
  </si>
  <si>
    <t>obaveza iz tekućeg poslovanja</t>
  </si>
  <si>
    <t>Stalna sredstva</t>
  </si>
  <si>
    <t>ZEMLJI[TE</t>
  </si>
  <si>
    <t>Ostale pozicije bilansa stanja</t>
  </si>
  <si>
    <t xml:space="preserve">  </t>
  </si>
  <si>
    <t>Projekcija neto novčanih tokova</t>
  </si>
  <si>
    <t>320</t>
  </si>
  <si>
    <t>101</t>
  </si>
  <si>
    <t>102</t>
  </si>
  <si>
    <t>104</t>
  </si>
  <si>
    <t>106</t>
  </si>
  <si>
    <t>146</t>
  </si>
  <si>
    <t>115</t>
  </si>
  <si>
    <t>116</t>
  </si>
  <si>
    <t>118</t>
  </si>
  <si>
    <t>119</t>
  </si>
  <si>
    <t>120</t>
  </si>
  <si>
    <t>123</t>
  </si>
  <si>
    <t>144</t>
  </si>
  <si>
    <t>142</t>
  </si>
  <si>
    <t>145</t>
  </si>
  <si>
    <t>na ulaganja bez rizika u SRJ i RS</t>
  </si>
  <si>
    <t>C</t>
  </si>
  <si>
    <t>Premija za rizik na ulaganje u SRJ i RS</t>
  </si>
  <si>
    <t>Diskontna stopa (cena sopstvenog kapitala)</t>
  </si>
  <si>
    <t>Stopa na ulaganje bez rizika iznosi 4,5% i jednaka je objavljenoj stopi od strane Agencije za privatizaciju u Službenom glasniku Republike Srbije br. 60/01. Stopa rizika ulaganja u SRJ i RS objavljena je u istom Službenom glasniku Republike Srbije i iznosi 7%.</t>
  </si>
  <si>
    <t>Stopa rizika ulaganja u preduzeće iznosi 8% i predstavlja zbir pojedinih specifičnih elemenata rizika:</t>
  </si>
  <si>
    <r>
      <t xml:space="preserve">Zbir stope bez rizika, stope rizika ulaganja u SRJ i RS i stope rizika ulaganja u preduzeće daje cenu sopstvenog kapitala od </t>
    </r>
    <r>
      <rPr>
        <b/>
        <sz val="11"/>
        <rFont val="Arial"/>
        <family val="2"/>
      </rPr>
      <t>19,5%</t>
    </r>
    <r>
      <rPr>
        <sz val="11"/>
        <rFont val="Arial"/>
        <family val="2"/>
      </rPr>
      <t>, što ujedno (u skladu sa izabranim modelom projekcije novčanih tokova) predstavlja diskontnu stopu.</t>
    </r>
  </si>
  <si>
    <t>U skladu sa propisanom metodologijom utvrđena je donja i gornja DNT vrednost kapitala preduzeća.</t>
  </si>
  <si>
    <t>Obračun gornje granične DNT vrednosti kapitala</t>
  </si>
  <si>
    <t xml:space="preserve">     PO METODU LIKVIDACIONE  VREDNOSTI (LV)</t>
  </si>
  <si>
    <t>Kapital po knjig. vrednosti</t>
  </si>
  <si>
    <t>DNT kapital</t>
  </si>
  <si>
    <t>GDNT kapital</t>
  </si>
  <si>
    <t>DDNT kapital</t>
  </si>
  <si>
    <t>GLV kapital</t>
  </si>
  <si>
    <t>DLV kapital</t>
  </si>
  <si>
    <t>LV kapital</t>
  </si>
  <si>
    <t>309</t>
  </si>
  <si>
    <t>310</t>
  </si>
  <si>
    <t>311</t>
  </si>
  <si>
    <t>312</t>
  </si>
  <si>
    <t>313</t>
  </si>
  <si>
    <t>Troškovi spr. likvidacije</t>
  </si>
  <si>
    <t xml:space="preserve">Pregled likvidacione vrednosti ukupne imovine preduzeća dat je u tabeli koja sledi. </t>
  </si>
  <si>
    <r>
      <t xml:space="preserve">Tabela. </t>
    </r>
    <r>
      <rPr>
        <i/>
        <sz val="11"/>
        <rFont val="Arial"/>
        <family val="2"/>
      </rPr>
      <t>Likvidaciona vrednost imovine</t>
    </r>
  </si>
  <si>
    <t>Procenjena</t>
  </si>
  <si>
    <t>procene</t>
  </si>
  <si>
    <t>vrednost</t>
  </si>
  <si>
    <r>
      <t>Tabela.</t>
    </r>
    <r>
      <rPr>
        <i/>
        <sz val="11"/>
        <rFont val="Arial"/>
        <family val="2"/>
      </rPr>
      <t xml:space="preserve"> Likvidaciona vrednost obaveza</t>
    </r>
  </si>
  <si>
    <t>Procenjena likvidaciona vrednost kapitala utvrdjena je na sledeći način:</t>
  </si>
  <si>
    <r>
      <t xml:space="preserve">Tabela. </t>
    </r>
    <r>
      <rPr>
        <i/>
        <sz val="11"/>
        <rFont val="Arial"/>
        <family val="2"/>
      </rPr>
      <t>Likvidaciona vrednost kapitala</t>
    </r>
  </si>
  <si>
    <t>Iznos u 000 din</t>
  </si>
  <si>
    <t>+Amortizacija</t>
  </si>
  <si>
    <t>-Investiranje / + dezinvestiranje trajnih obrtnih sredstava</t>
  </si>
  <si>
    <t>-Investiranje / + dezinvestiranje osnovnih sredstava</t>
  </si>
  <si>
    <t>-Neto finansijski rashodi</t>
  </si>
  <si>
    <t>POSLOVNA IMOVINA</t>
  </si>
  <si>
    <t>SLOBODNA GOTOVINA IZ NNT</t>
  </si>
  <si>
    <t>Odabrani finansijski pokazatelji</t>
  </si>
  <si>
    <t>Bazna</t>
  </si>
  <si>
    <t>Stopa poslovnog dobitka</t>
  </si>
  <si>
    <t>Koeficijent obrta investiranog kapitala</t>
  </si>
  <si>
    <t>Stopa prinosa na investirani kapital</t>
  </si>
  <si>
    <t>Trajna obrtna sredstava / Poslovni prihodi</t>
  </si>
  <si>
    <t>Osnovna sredstava (sad.vr.) / Poslovni prihodi</t>
  </si>
  <si>
    <t>Stopa rasta poslovnih prihoda</t>
  </si>
  <si>
    <t>Stopa rasta poslovnog dobitka</t>
  </si>
  <si>
    <t>Neto obrtna sredstva / Obrtna sredstva</t>
  </si>
  <si>
    <t>Kalkulacija cene sopstvenog kapitala</t>
  </si>
  <si>
    <t>Propisana stopa / raspon stopa</t>
  </si>
  <si>
    <t>Procena</t>
  </si>
  <si>
    <t>Stopa prinosa na ulaganje bez rizika</t>
  </si>
  <si>
    <t>Premija za rizik na ulaganje u SR Jugoslaviju / Republiku Srbiju</t>
  </si>
  <si>
    <t xml:space="preserve">       kvalitet organizacije, rukovodstva, i kadrova</t>
  </si>
  <si>
    <t xml:space="preserve">       proizvodno-prodajni potencijal</t>
  </si>
  <si>
    <t>Cena sopstvenog kapitala:</t>
  </si>
  <si>
    <t>1-5</t>
  </si>
  <si>
    <t>Pozicija / Varijabla</t>
  </si>
  <si>
    <t>Rezidualna vrednost</t>
  </si>
  <si>
    <t>Diskontni faktori</t>
  </si>
  <si>
    <t>Ukupna vrednost kapitala:</t>
  </si>
  <si>
    <t>Rezidualni</t>
  </si>
  <si>
    <t>period</t>
  </si>
  <si>
    <t>u 000 din</t>
  </si>
  <si>
    <t>AVR</t>
  </si>
  <si>
    <t>PVR</t>
  </si>
  <si>
    <t xml:space="preserve">       Materijal</t>
  </si>
  <si>
    <t xml:space="preserve">       Gotovi proizvodi</t>
  </si>
  <si>
    <t xml:space="preserve">     Obaveze za zarade  nakanade zarada</t>
  </si>
  <si>
    <t xml:space="preserve">Fixni </t>
  </si>
  <si>
    <t>Varijabilni</t>
  </si>
  <si>
    <t>Komponente</t>
  </si>
  <si>
    <t>2000/1999</t>
  </si>
  <si>
    <t>1999/1998</t>
  </si>
  <si>
    <t>Stopa rasta poslovnih prihoda - /realan iskaz/</t>
  </si>
  <si>
    <t>Stopa rasta poslovnih prihoda - /nominalni iskaz/</t>
  </si>
  <si>
    <t>Realne vrednosti prihoda iz prodaje</t>
  </si>
  <si>
    <t>Prosek</t>
  </si>
  <si>
    <t>Tabela: Stopa prinosa</t>
  </si>
  <si>
    <t>Stopa poslovnog i finansijskog rezultata</t>
  </si>
  <si>
    <t>Poslovni dobitak</t>
  </si>
  <si>
    <t>Poslovni i finansijski dobitak</t>
  </si>
  <si>
    <t>Prihodi u zemlji</t>
  </si>
  <si>
    <t>Prihodi u inostranstvu</t>
  </si>
  <si>
    <t>istorijski</t>
  </si>
  <si>
    <t>Din</t>
  </si>
  <si>
    <t>000 Din</t>
  </si>
  <si>
    <t>OSNOVNA SREDSTVA</t>
  </si>
  <si>
    <t>Objekti</t>
  </si>
  <si>
    <t>Oprema</t>
  </si>
  <si>
    <t>Propisane stope amortizacije za otpis objekata</t>
  </si>
  <si>
    <t>Stopa amortizacije za otpis nematerijalnih ulaganja</t>
  </si>
  <si>
    <t>Rezidual</t>
  </si>
  <si>
    <t>Zemljiste</t>
  </si>
  <si>
    <t>UBACI IF</t>
  </si>
  <si>
    <t xml:space="preserve">Poslovni </t>
  </si>
  <si>
    <t>prihod</t>
  </si>
  <si>
    <t>Bazna godina</t>
  </si>
  <si>
    <t>Autorski honorari</t>
  </si>
  <si>
    <t>DOBIT IZ POSLOVNE I FINANSIJSKE AKTIVNOSTI</t>
  </si>
  <si>
    <t>DUGORO^NI FINANSIJSKI PLASMANI</t>
  </si>
  <si>
    <t>Kontrola</t>
  </si>
  <si>
    <t>Tabela: Bilans stanja na dan procene</t>
  </si>
  <si>
    <t xml:space="preserve">Pre </t>
  </si>
  <si>
    <t>korekcije</t>
  </si>
  <si>
    <t>Korekcija</t>
  </si>
  <si>
    <t>Nakon korekcije</t>
  </si>
  <si>
    <t>Koeficijenti rasta cena na malo (prethodna godina = 100)</t>
  </si>
  <si>
    <t>Nematerijalna</t>
  </si>
  <si>
    <t>Donja disk. stopa</t>
  </si>
  <si>
    <t>Gornja disk. stopa</t>
  </si>
  <si>
    <t>Avansi i osnovna sredstva u pripremi</t>
  </si>
  <si>
    <t>2001/2000</t>
  </si>
  <si>
    <t>Krajem godine</t>
  </si>
  <si>
    <t xml:space="preserve">     Krajem godine (za likvidnost)</t>
  </si>
  <si>
    <t xml:space="preserve"> - generisana iz tokova</t>
  </si>
  <si>
    <t xml:space="preserve"> - dobijena iz novih kredita</t>
  </si>
  <si>
    <t>Neresporedjeni dobitak</t>
  </si>
  <si>
    <t>Vanposlovna aktiva</t>
  </si>
  <si>
    <t>Vanposlovna pasiva</t>
  </si>
  <si>
    <t>Poslovni rashodi / Poslovni prihodi</t>
  </si>
  <si>
    <t>Stopa rasta poslovnog prihoda</t>
  </si>
  <si>
    <t>Tro{kovi proizvodnih usluga (prema u~e{}u)</t>
  </si>
  <si>
    <t>Broj</t>
  </si>
  <si>
    <t>dana</t>
  </si>
  <si>
    <t>bez doprinosa na teret poslodavca</t>
  </si>
  <si>
    <t>Kategorije obrtnih sredstava</t>
  </si>
  <si>
    <t>Koeficijent</t>
  </si>
  <si>
    <t>obrta</t>
  </si>
  <si>
    <t>Dani</t>
  </si>
  <si>
    <t>vezivanja</t>
  </si>
  <si>
    <t>Revalorizacione rezerve</t>
  </si>
  <si>
    <t xml:space="preserve"> </t>
  </si>
  <si>
    <t xml:space="preserve">perioda do kraja svog životnog veka, tj. rezidualna vrednost predstavlja vrednost preduzeća koja preostaje </t>
  </si>
  <si>
    <t>iza horizonta projekcije. Prvi korak pri utvrđivanju procenjenog iznosa rezidualne vrednosti jeste obračun</t>
  </si>
  <si>
    <t xml:space="preserve"> neto novčanog toka za rezidualnu vrednost. </t>
  </si>
  <si>
    <t xml:space="preserve">Neto novačni tok za rezidualnu vrednost jeste neto novčni tok iz prve godine nakon isteka perioda </t>
  </si>
  <si>
    <t xml:space="preserve">projekcije, i u skladu sa propisanom metodologijom dobijen je množenjem neto novčanog toka iz poslednje </t>
  </si>
  <si>
    <t>godine projekcije i koeficijenta očekivanog rasta neto novčanog toka u rezidualnom periodu.</t>
  </si>
  <si>
    <r>
      <t>4.4.</t>
    </r>
    <r>
      <rPr>
        <b/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Projekcija novčanih tokova</t>
    </r>
  </si>
  <si>
    <t xml:space="preserve">4.4.1. Neto novčani tokovi </t>
  </si>
  <si>
    <t>4.4.2. Neto novčani tok za rezidualnu vrednost</t>
  </si>
  <si>
    <r>
      <t>4.5.</t>
    </r>
    <r>
      <rPr>
        <b/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Projektovani bilansi stanja i provera realnosti projekcija</t>
    </r>
  </si>
  <si>
    <t>4.6. UTVRĐIVANJE DISKONTNE STOPE</t>
  </si>
  <si>
    <t xml:space="preserve">Diskontna stopa je izračunata u skladu sa usvojenim načinom obračuna novčanog toka posle servisiranja dugova. </t>
  </si>
  <si>
    <t xml:space="preserve">U ovom slučaju diskontna stopa treba da odrazi cenu sopstvenog kapitala. </t>
  </si>
  <si>
    <t xml:space="preserve">U skladu sa usvojenim propisima cena sopstvenog kapitala se utvrđuje metodom zidanja. </t>
  </si>
  <si>
    <t>Pojedini elementi cene sopstvenog kapitala daju se u sledećoj tabeli.</t>
  </si>
  <si>
    <t>4.7. OSNOVNA DNT VREDNOST KAPITALA</t>
  </si>
  <si>
    <t>4.8. DONJA I GORNJA GRANIČNA DNT VREDNOST</t>
  </si>
  <si>
    <t xml:space="preserve">Pri obračunu donje granične vrednosti DNT koja je utvrđena kao zbir diskontovane vrednosti neto novčanih </t>
  </si>
  <si>
    <t xml:space="preserve">tokova iz projektovanog perioda i diskontovane rezidualne vrednosti, korišćeni su diskontni faktori </t>
  </si>
  <si>
    <t xml:space="preserve">za diskontnu stopu od </t>
  </si>
  <si>
    <t xml:space="preserve">(diskontna stopa za obračun donje granične vrednosti DNT dobijena je na bazi uvećanja osnovne diskontne stope za pet procentnih poena). </t>
  </si>
  <si>
    <t xml:space="preserve">Pri obračunu gornje granične vrednosti DNT koja je utvrđena kao zbir diskontovane vrednosti </t>
  </si>
  <si>
    <t xml:space="preserve">neto novčanih tokova iz projektovanog perioda i diskontovane rezidualne vrednosti, korišćeni su diskontni faktori </t>
  </si>
  <si>
    <t xml:space="preserve">(diskontna stopa za obračun gornje granične vrednosti DNT dobijena je na bazi umanjenja osnovne diskontne stope za pet procentnih poena). </t>
  </si>
  <si>
    <r>
      <t xml:space="preserve">Na bazi utvrđene donje i gornje DNT vrednosti, </t>
    </r>
    <r>
      <rPr>
        <i/>
        <sz val="11"/>
        <rFont val="Arial"/>
        <family val="2"/>
      </rPr>
      <t xml:space="preserve">može se zaključiti da se vrednost kapitala </t>
    </r>
  </si>
  <si>
    <t>preduzeća utvrđena primenom DNT metoda kreće u rasponu od</t>
  </si>
  <si>
    <t xml:space="preserve">hilj. dinara do </t>
  </si>
  <si>
    <t>hilj. dinara.</t>
  </si>
  <si>
    <t xml:space="preserve">5.  PROCENA VREDNOSTI KAPITALA  </t>
  </si>
  <si>
    <t xml:space="preserve">obuhvaćene su sve pozicije imovine i obaveza koje su iskazane u </t>
  </si>
  <si>
    <t>5.1. LIKVIDACIONA VREDNOST IMOVINE</t>
  </si>
  <si>
    <t>U postupku procene likvidaciona vrednost imovine Preduzeća utvrdjena je na sledeći način:</t>
  </si>
  <si>
    <r>
      <t xml:space="preserve">    </t>
    </r>
    <r>
      <rPr>
        <b/>
        <i/>
        <sz val="11"/>
        <rFont val="Arial"/>
        <family val="2"/>
      </rPr>
      <t xml:space="preserve">Zemljište. </t>
    </r>
    <r>
      <rPr>
        <sz val="11"/>
        <rFont val="Arial"/>
        <family val="2"/>
      </rPr>
      <t xml:space="preserve">Na bazi analitičke evidencije razgraničeno je gradsko građevinsko od ostalog zemljišta. </t>
    </r>
  </si>
  <si>
    <t>Procenom je obuhvaćeno samo zemljište koje se nalazi na</t>
  </si>
  <si>
    <t xml:space="preserve"> lokaciji </t>
  </si>
  <si>
    <t>Na bazi cene od</t>
  </si>
  <si>
    <t xml:space="preserve">EUR po m2, </t>
  </si>
  <si>
    <t xml:space="preserve">procenjena je ukupna likvidaciona vrednost zemljišta u iznosu od </t>
  </si>
  <si>
    <r>
      <t>Važno je napomenuti da je cena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zgrada  niža od cene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lokala ili stambenog prostora iz sledećih razloga:</t>
    </r>
  </si>
  <si>
    <t xml:space="preserve">dinara što je </t>
  </si>
  <si>
    <t>knjigovodstvene vrednosti.</t>
  </si>
  <si>
    <t xml:space="preserve">hiljada dinara. </t>
  </si>
  <si>
    <t xml:space="preserve">Likvidaciona vrednost realnog iznosa dugoročnih finansijskih plasmana procenjena je </t>
  </si>
  <si>
    <t xml:space="preserve">u iznosu od </t>
  </si>
  <si>
    <t>5.2. VREDNOST OBAVEZA I TROŠKOVA POSTUPKA REDOVNE LIKVIDACIJE</t>
  </si>
  <si>
    <t>5.3. OSNOVNA LIKVIDACIONA VREDNOST KAPITALA</t>
  </si>
  <si>
    <t>6. ZAKLJUČAK O VREDNOSTI UKUPNOG KAPITALA</t>
  </si>
  <si>
    <t>Dobijeni rezultati po knjigovodstvenom metodu</t>
  </si>
  <si>
    <t>Nominalna knjigovodstvena vrednost kapitala</t>
  </si>
  <si>
    <t>Korigovana knjigovodstvena vrednost kapitala</t>
  </si>
  <si>
    <t>4. PROCENA VREDNOSTI KAPITALA PO KNJIGOVODSTVENOM  METODU</t>
  </si>
  <si>
    <t>Na dan procene 31.1.2.2002. godine Preduzeće je imalo sledeći bilans stanja:</t>
  </si>
  <si>
    <t>AKTIVA 
 A. NEUPLAĆENI UPISANI KAPITAL</t>
  </si>
  <si>
    <t>Na bazi prezentiranih podataka iz zvaničnog bilansa stanja na dan procene Preduzeće</t>
  </si>
  <si>
    <t xml:space="preserve">je imalo nominalnu vrednost društvenog kapitala u iznosu od </t>
  </si>
  <si>
    <t>4.1. Nominalna knjigovodstvena vrednost kapitala</t>
  </si>
  <si>
    <t>4.2. Korigovana knjigovodstvena vrednost kapitala</t>
  </si>
  <si>
    <t>Na bazi zvaničnih podataka iz bilansa stanja na dan procene Preduzeće je imalo sledeću vrednost kapitala:</t>
  </si>
  <si>
    <t>Vrednost obaveza na dan procene</t>
  </si>
  <si>
    <t>Dugoročna rezervisanja</t>
  </si>
  <si>
    <t>Korigovana knjigovodstvena vrednost kapitala na dan procene</t>
  </si>
  <si>
    <t>Gubitak na dan procene</t>
  </si>
  <si>
    <t>Knjigovodstvena vrednost ukupne aktive na dan procene</t>
  </si>
  <si>
    <t>hiljada dinara na dan procene.</t>
  </si>
  <si>
    <t xml:space="preserve">Prema obračunu iz prethodne tabele korigovana knjigovodstvena vrednost društvenog kapitala je  </t>
  </si>
  <si>
    <t>Tabelarni pregled procene i tehnički opis objekata daje se u Prilogu.</t>
  </si>
  <si>
    <t>Projektovana stopa rasta neto novčanog toka u rezidualanom periodu je na nivou od 4%, što opredeljuje</t>
  </si>
  <si>
    <t xml:space="preserve"> visinu koeficijenta očekivanog rasta neto novčanog toka u iznosu od 1,04. Naravno, tako utvrđena visina </t>
  </si>
  <si>
    <t xml:space="preserve">neto novčanog toka predstavljaće osnovu za izračunavanje rezidualne vrednosti (neto novčani tok iz </t>
  </si>
  <si>
    <t xml:space="preserve">rezidualnog perioda podeljen sa razlikom između diskontne stope i stope rasta neto novčanog toka </t>
  </si>
  <si>
    <t>NAZIV:</t>
  </si>
  <si>
    <t>GODINA:</t>
  </si>
  <si>
    <t>Iznos</t>
  </si>
  <si>
    <t>U 000 din</t>
  </si>
  <si>
    <t>BILANS STANJA</t>
  </si>
  <si>
    <t>Grupa racuna,   racun</t>
  </si>
  <si>
    <t>POZICIJA</t>
  </si>
  <si>
    <t>Oznaka AOP</t>
  </si>
  <si>
    <t>Bruto</t>
  </si>
  <si>
    <t>Neto</t>
  </si>
  <si>
    <t>00</t>
  </si>
  <si>
    <t>001</t>
  </si>
  <si>
    <t>B. STALNA IMOVINA (003+009+017)</t>
  </si>
  <si>
    <t>002</t>
  </si>
  <si>
    <t xml:space="preserve">   I. Nematerijalna ulaganja (004 do 008)</t>
  </si>
  <si>
    <t>003</t>
  </si>
  <si>
    <t xml:space="preserve">      1. Osnivačka ulaganja</t>
  </si>
  <si>
    <t>004</t>
  </si>
  <si>
    <t>011,012</t>
  </si>
  <si>
    <t xml:space="preserve">      2. Ulaganja u istraživanja i razvoj i probnu proizvod.</t>
  </si>
  <si>
    <t>005</t>
  </si>
  <si>
    <t xml:space="preserve">      3. Koncesije, patenti, licence i slična prava</t>
  </si>
  <si>
    <t>006</t>
  </si>
  <si>
    <t xml:space="preserve">      4. Ulaganja iznad knjigovodstvene vrednosti-goodwill</t>
  </si>
  <si>
    <t>007</t>
  </si>
  <si>
    <t>015 do 0,19</t>
  </si>
  <si>
    <t xml:space="preserve">      5. Druga nematerijalna ulaganja</t>
  </si>
  <si>
    <t>008</t>
  </si>
  <si>
    <t xml:space="preserve">   II. Osnovna sredstva (010 do 016)</t>
  </si>
  <si>
    <t>009</t>
  </si>
  <si>
    <t>020,021,025</t>
  </si>
  <si>
    <t xml:space="preserve">      1. Zemljišta, šume i višegodisnji zasadi</t>
  </si>
  <si>
    <t>022</t>
  </si>
  <si>
    <t xml:space="preserve">      2. Gradjevinski objekti</t>
  </si>
  <si>
    <t>023</t>
  </si>
  <si>
    <t xml:space="preserve">      3. Oprema</t>
  </si>
  <si>
    <t>024</t>
  </si>
  <si>
    <t xml:space="preserve">      4. Alat i inventar</t>
  </si>
  <si>
    <t xml:space="preserve">      5. Osnovno stado</t>
  </si>
  <si>
    <t>027</t>
  </si>
  <si>
    <t xml:space="preserve">      6. Ostala osnovna sredstva</t>
  </si>
  <si>
    <t>028,029</t>
  </si>
  <si>
    <t xml:space="preserve">      7. Avansi i osnovna sredstva u pripremi</t>
  </si>
  <si>
    <t xml:space="preserve">   III. Dugoročni finansijski plasmani (018 do 024)</t>
  </si>
  <si>
    <t>030</t>
  </si>
  <si>
    <t xml:space="preserve">      1. Učešća u kapitalu povezanih pravnih lica</t>
  </si>
  <si>
    <t>018</t>
  </si>
  <si>
    <t>031</t>
  </si>
  <si>
    <t xml:space="preserve">      2. Ucešća u kapitalu drugih pravnih lica</t>
  </si>
  <si>
    <t>032</t>
  </si>
  <si>
    <t xml:space="preserve">      3. Dugoročni krediti povezanim pravnim licima</t>
  </si>
  <si>
    <t>033,034</t>
  </si>
  <si>
    <t xml:space="preserve">      4. Dugoročni krediti</t>
  </si>
  <si>
    <t>021</t>
  </si>
  <si>
    <t>035</t>
  </si>
  <si>
    <t xml:space="preserve">      5. Dugoročne hartije od vrednosti</t>
  </si>
  <si>
    <t>036</t>
  </si>
  <si>
    <t xml:space="preserve">      6. Otkupljene sopstvene akcije</t>
  </si>
  <si>
    <t>039</t>
  </si>
  <si>
    <t xml:space="preserve">      7. Ostali dugoročni plasmani</t>
  </si>
  <si>
    <t>V. OBRTNA IMOVINA  (026+032+044)</t>
  </si>
  <si>
    <t>025</t>
  </si>
  <si>
    <t xml:space="preserve">    I. Zalihe (027 do 031)</t>
  </si>
  <si>
    <t xml:space="preserve">      1. Materijal</t>
  </si>
  <si>
    <t xml:space="preserve">      2. Nedovršena proizvodnja</t>
  </si>
  <si>
    <t>028</t>
  </si>
  <si>
    <t xml:space="preserve">      3. Gotovi proizvodi</t>
  </si>
  <si>
    <t>029</t>
  </si>
  <si>
    <t xml:space="preserve">      4. Roba</t>
  </si>
  <si>
    <t xml:space="preserve">      5. Dati avansi</t>
  </si>
  <si>
    <t xml:space="preserve">    II. Kratkoročna potraživanja plasmani i gotovina (033+038)</t>
  </si>
  <si>
    <t xml:space="preserve">      1. Kratkoročna potraživanja (034 do 037)</t>
  </si>
  <si>
    <t>033</t>
  </si>
  <si>
    <t>200</t>
  </si>
  <si>
    <t xml:space="preserve">          a) Kupci - povezana pravna lica</t>
  </si>
  <si>
    <t>034</t>
  </si>
  <si>
    <t>201,202</t>
  </si>
  <si>
    <t xml:space="preserve">          b) Kupci</t>
  </si>
  <si>
    <t xml:space="preserve">          v) Potraživanja iz specifičnih poslova</t>
  </si>
  <si>
    <t>22</t>
  </si>
  <si>
    <t xml:space="preserve">          g) Druga potraživanja</t>
  </si>
  <si>
    <t>037</t>
  </si>
  <si>
    <t xml:space="preserve">      2. Kratkoročni finansijski plasmani (039 do 043)</t>
  </si>
  <si>
    <t>038</t>
  </si>
  <si>
    <t xml:space="preserve">          a) Kratkoročni plasmani u povezana pravna lica</t>
  </si>
  <si>
    <t>231,232,233</t>
  </si>
  <si>
    <t xml:space="preserve">          b) Kratkoročni krediti</t>
  </si>
  <si>
    <t>040</t>
  </si>
  <si>
    <t>234,235</t>
  </si>
  <si>
    <t xml:space="preserve">          v) Hartije od vrednosti</t>
  </si>
  <si>
    <t>041</t>
  </si>
  <si>
    <t xml:space="preserve">          g) Menice</t>
  </si>
  <si>
    <t>042</t>
  </si>
  <si>
    <t xml:space="preserve">          d) Ostali kratkoročni plasmani</t>
  </si>
  <si>
    <t>043</t>
  </si>
  <si>
    <t xml:space="preserve">    III. Gotovinski ekvivalenti i gotovina (045+046)</t>
  </si>
  <si>
    <t>044</t>
  </si>
  <si>
    <t xml:space="preserve">      1. Hartije od vrednosti (gotovinski ekvivalenti)</t>
  </si>
  <si>
    <t>045</t>
  </si>
  <si>
    <t>241do249</t>
  </si>
  <si>
    <t xml:space="preserve">      2. Gotovina</t>
  </si>
  <si>
    <t>046</t>
  </si>
  <si>
    <t>G. AKTIVNA VREMENSKA RAZGRANIČENJA</t>
  </si>
  <si>
    <t>047</t>
  </si>
  <si>
    <t xml:space="preserve">D. POSLOVNA IMOVINA ( 001 + 002 + 025 +047 ) </t>
  </si>
  <si>
    <t>048</t>
  </si>
  <si>
    <t>Đ. GUBITAK (050+051)</t>
  </si>
  <si>
    <t>049</t>
  </si>
  <si>
    <t>290</t>
  </si>
  <si>
    <t xml:space="preserve">    I. Gubitak ranijih godina</t>
  </si>
  <si>
    <t>050</t>
  </si>
  <si>
    <t>291</t>
  </si>
  <si>
    <t xml:space="preserve">   II. Gubitak tekuće godine</t>
  </si>
  <si>
    <t>051</t>
  </si>
  <si>
    <t xml:space="preserve">E. POSLOVNA AKTIVA ( 051 + 052) </t>
  </si>
  <si>
    <t>052</t>
  </si>
  <si>
    <t>Ž. VANPOSLOVNA AKTIVA</t>
  </si>
  <si>
    <t>053</t>
  </si>
  <si>
    <t>Z. UKUPNA AKTIVA (052+053)</t>
  </si>
  <si>
    <t>054</t>
  </si>
  <si>
    <t xml:space="preserve">    VANBILANSNA AKTIVA</t>
  </si>
  <si>
    <t>055</t>
  </si>
  <si>
    <t>Grupa računa,   račun</t>
  </si>
  <si>
    <t xml:space="preserve">   I. Osnovni kapital (103 do 110)</t>
  </si>
  <si>
    <t xml:space="preserve">      1. Akcijski kapital - obične akcije</t>
  </si>
  <si>
    <t xml:space="preserve">      2. Akcijski kapital - prioritetne akcije</t>
  </si>
  <si>
    <t>302</t>
  </si>
  <si>
    <t xml:space="preserve">      3. Udeli društva sa ograničenom odgovornošću</t>
  </si>
  <si>
    <t>303</t>
  </si>
  <si>
    <t xml:space="preserve">      4. Ulozi</t>
  </si>
  <si>
    <t>304</t>
  </si>
  <si>
    <t xml:space="preserve">      5. Državni kapital</t>
  </si>
  <si>
    <t xml:space="preserve">      6. Društveni kapital</t>
  </si>
  <si>
    <t xml:space="preserve">      7. Zadružni udeli</t>
  </si>
  <si>
    <t xml:space="preserve">      8. Ostali kapital</t>
  </si>
  <si>
    <t xml:space="preserve">    II. Emisiona premija</t>
  </si>
  <si>
    <t xml:space="preserve">   III. Revalorizacione rezerve</t>
  </si>
  <si>
    <t>112</t>
  </si>
  <si>
    <t xml:space="preserve">  IV. Rezerve iz dobitka (114 do 115)</t>
  </si>
  <si>
    <t xml:space="preserve">      1. Zakonske rezerve</t>
  </si>
  <si>
    <t>114</t>
  </si>
  <si>
    <t xml:space="preserve">      2. Statutarne i druge rezerve</t>
  </si>
  <si>
    <t xml:space="preserve">   V. Nerasporedjeni dobitak</t>
  </si>
  <si>
    <t xml:space="preserve">      1. Nerasporedjeni dobitak ranijih godina</t>
  </si>
  <si>
    <t>321</t>
  </si>
  <si>
    <t xml:space="preserve">      2. Nerasporedjeni dobitak tekuće godine</t>
  </si>
  <si>
    <t>B. DUGOROČNA REZERVISANJA (120+121+122+123)</t>
  </si>
  <si>
    <t>400 do 404</t>
  </si>
  <si>
    <t xml:space="preserve">    I. Rezervisanja za troškove i rizike</t>
  </si>
  <si>
    <t>405</t>
  </si>
  <si>
    <t>121</t>
  </si>
  <si>
    <t>406,407</t>
  </si>
  <si>
    <t>409</t>
  </si>
  <si>
    <t xml:space="preserve">  IV.Ostala dugoročna rezervisanja</t>
  </si>
  <si>
    <t>V. OBAVEZE (125+131)</t>
  </si>
  <si>
    <t xml:space="preserve">    I. Dugoročne obaveze (126do 130)</t>
  </si>
  <si>
    <t>410</t>
  </si>
  <si>
    <t xml:space="preserve">       1. Obaveze koje se mogu konvertovati u kapital</t>
  </si>
  <si>
    <t>126</t>
  </si>
  <si>
    <t>411</t>
  </si>
  <si>
    <t xml:space="preserve">       2. Obaveze prema povezanim pravnim licima</t>
  </si>
  <si>
    <t>127</t>
  </si>
  <si>
    <t>412</t>
  </si>
  <si>
    <t xml:space="preserve">       3. Obaveze po dugoročnim hartijama od vrednosti</t>
  </si>
  <si>
    <t>128</t>
  </si>
  <si>
    <t>413,414</t>
  </si>
  <si>
    <t xml:space="preserve">       4. Dugoročni krediti</t>
  </si>
  <si>
    <t>129</t>
  </si>
  <si>
    <t xml:space="preserve">       5. Ostale dugoročne obaveze</t>
  </si>
  <si>
    <t>130</t>
  </si>
  <si>
    <t xml:space="preserve">    II. Kratkorocne obaveze (132 do 142)</t>
  </si>
  <si>
    <t>131</t>
  </si>
  <si>
    <t>420</t>
  </si>
  <si>
    <t xml:space="preserve">       1. Kratkoročni krediti od povezanih pravnih lica</t>
  </si>
  <si>
    <t>132</t>
  </si>
  <si>
    <t>421,422,423</t>
  </si>
  <si>
    <t>012</t>
  </si>
  <si>
    <t>013</t>
  </si>
  <si>
    <t>014</t>
  </si>
  <si>
    <t>015</t>
  </si>
  <si>
    <t>016</t>
  </si>
  <si>
    <t>017</t>
  </si>
  <si>
    <t>019</t>
  </si>
  <si>
    <t>020</t>
  </si>
  <si>
    <t>U postupku procene likvidacione vrednosti kapitala Preduzeća</t>
  </si>
  <si>
    <t>bilansu stanja sačinjenom u pripremnoj fazi procene.</t>
  </si>
  <si>
    <t xml:space="preserve">Metodološki, postupak procene otpočinje procenom likvidacione vrednosti imovine na principu očekivanih </t>
  </si>
  <si>
    <t xml:space="preserve">tržišnih cena koje bi se mogle postići u hipotetičkom scenariju likvidacije preduzeća. S druge strane, </t>
  </si>
  <si>
    <t xml:space="preserve">vrednost obaveza i troškovi likvidacije se procenjenju uz princip najviše vrednosti. </t>
  </si>
  <si>
    <t>Gotovina i gotovinski ekvivalenti procenjeni su u visini njihove knjigovodstvene vrednosti na dan procene;</t>
  </si>
  <si>
    <t>Potraživanja od kupaca procenjena su uz diskont od</t>
  </si>
  <si>
    <t xml:space="preserve">odnosno u visini </t>
  </si>
  <si>
    <t>njihove knjigovodstvene vrednosti na dan procene;</t>
  </si>
  <si>
    <r>
      <t xml:space="preserve"> </t>
    </r>
    <r>
      <rPr>
        <b/>
        <i/>
        <sz val="11"/>
        <rFont val="Arial"/>
        <family val="2"/>
      </rPr>
      <t>Gotovina i gotovinski ekvivalenti.</t>
    </r>
    <r>
      <rPr>
        <sz val="11"/>
        <rFont val="Arial"/>
        <family val="2"/>
      </rPr>
      <t xml:space="preserve"> </t>
    </r>
  </si>
  <si>
    <r>
      <t xml:space="preserve">     </t>
    </r>
    <r>
      <rPr>
        <b/>
        <i/>
        <sz val="11"/>
        <rFont val="Arial"/>
        <family val="2"/>
      </rPr>
      <t>Potraživanja od kupaca.</t>
    </r>
    <r>
      <rPr>
        <sz val="11"/>
        <rFont val="Arial"/>
        <family val="2"/>
      </rPr>
      <t xml:space="preserve"> </t>
    </r>
  </si>
  <si>
    <r>
      <t xml:space="preserve">  </t>
    </r>
    <r>
      <rPr>
        <b/>
        <i/>
        <sz val="11"/>
        <rFont val="Arial"/>
        <family val="2"/>
      </rPr>
      <t>Ostala potraživanja.</t>
    </r>
    <r>
      <rPr>
        <sz val="11"/>
        <rFont val="Arial"/>
        <family val="2"/>
      </rPr>
      <t xml:space="preserve"> </t>
    </r>
  </si>
  <si>
    <t xml:space="preserve">Ostala potraživanja su, uzimajući u obzir osnov njihovog nastanka, ocenjena kao naplativa </t>
  </si>
  <si>
    <t>Aktiva</t>
  </si>
  <si>
    <r>
      <t xml:space="preserve">AKTIVA   </t>
    </r>
    <r>
      <rPr>
        <sz val="10"/>
        <rFont val="Arial"/>
        <family val="2"/>
      </rPr>
      <t xml:space="preserve">                                                                           A. NEUPLAĆENI UPISANI KAPITAL</t>
    </r>
  </si>
  <si>
    <t>Pasiva</t>
  </si>
  <si>
    <t>PASIVA                                                                             A. KAPITAL (102+111+112+113+116)</t>
  </si>
  <si>
    <t>A. POSLOVNI PRIHODI I RASHODI                                                                   I.  Poslovni prihodi (202 +206+ 210 + 211 + 212 + 213)</t>
  </si>
  <si>
    <t>6. Povećanje vrednosti zaliha učinaka</t>
  </si>
  <si>
    <t>Smanjenje vrednosti zaliha učinaka iznad poslovnih prihoda perioda ( 214 - 201)</t>
  </si>
  <si>
    <t>III. Bruto poslovni rezultat ( 215 - 217 )</t>
  </si>
  <si>
    <t>7. Nematerijlni troškovi (bez poreza i doprinosa)</t>
  </si>
  <si>
    <t xml:space="preserve">B. FINANSIJSKI PRIHODI I RASHODI                                          I. Finansijski prihodi ( 239 do 242)                                    </t>
  </si>
  <si>
    <t>B. NEPOSLOVNI I VANREDNI PRIHODI I RASHODI                                                               I. Neposlovni i vanredni prihodi ( 252 do 258 )</t>
  </si>
  <si>
    <t>6. Prihodi od smanjenja obaveza i ukidanja neiskorišćenih dugoročnih rezervisanja za rizike</t>
  </si>
  <si>
    <t>1. Gubici po osnovu rashodovanja, prodaje i otpisa osnovnih sredstava i nematerijalnih ulaganja</t>
  </si>
  <si>
    <t>G. REVALORIZACIONI PRIHODI I RASHODI                                                I. Revalorizacioni prihodi ( 271 do 273 )</t>
  </si>
  <si>
    <t>D. BRUTO REZULTAT PREDUZECA                                                               I. Bruto dobitak ( 236+249+268+278)</t>
  </si>
  <si>
    <t>Đ) DOBITAK I GUBITAK                                                                                        I. Dobitak ( 280-281)</t>
  </si>
  <si>
    <t>Ž) NETO REZULTAT PREDUZECA                                                                  I. Neto dobitak (282 -284)</t>
  </si>
  <si>
    <t>Tabela 2</t>
  </si>
  <si>
    <t>Struktura finansijskog rezultata</t>
  </si>
  <si>
    <t xml:space="preserve">Redni </t>
  </si>
  <si>
    <t>broj</t>
  </si>
  <si>
    <t>Poslovni prihodi</t>
  </si>
  <si>
    <t>Prihodi od finansiranja</t>
  </si>
  <si>
    <t>Neposlovni i vanredni prihodi</t>
  </si>
  <si>
    <t>Revalorizacioni prihodi</t>
  </si>
  <si>
    <t>Ukupan prihod</t>
  </si>
  <si>
    <t>Poslovni rashodi</t>
  </si>
  <si>
    <t>Rashodi finansiranja</t>
  </si>
  <si>
    <t>Neposlovni i vanredni rashodi</t>
  </si>
  <si>
    <t>Revalorizacioni rashodi</t>
  </si>
  <si>
    <t>Ukupni rashodi</t>
  </si>
  <si>
    <t>Fin. rezultat iz redovnih komponenti uspeha</t>
  </si>
  <si>
    <t>Fin. rezultat iz stavki finansiranja</t>
  </si>
  <si>
    <t>Fin. rezultat iz neposlovnih i vanrednih stavki uspeha</t>
  </si>
  <si>
    <t>Fin. rezultat iz revalorizacionih stavki uspeha</t>
  </si>
  <si>
    <t>Ukupan neto finansijski rezultat</t>
  </si>
  <si>
    <t>Tabela 3</t>
  </si>
  <si>
    <t>Rizik ostvarenja finansijskog rezultata</t>
  </si>
  <si>
    <t>Redni</t>
  </si>
  <si>
    <t>Varijabilni i pretežno varijabilni rashodi</t>
  </si>
  <si>
    <t>Marža pokrića</t>
  </si>
  <si>
    <t>Fiksni i pretežno fiksni rashodi</t>
  </si>
  <si>
    <t>Poslovni rezultat</t>
  </si>
  <si>
    <t>Rezultat iz stavki finansiranja</t>
  </si>
  <si>
    <t>Neto poslovni rezultat</t>
  </si>
  <si>
    <t>Porezi i doprinosi iz finansijskog rezultata</t>
  </si>
  <si>
    <t>Neto finansijski rezultat iz sfere redovnog poslovanja</t>
  </si>
  <si>
    <t>Faktor poslovnog rizika</t>
  </si>
  <si>
    <t>Faktor  finansijskog rizika</t>
  </si>
  <si>
    <t>Faktor   rizika poreskog zahvatanja</t>
  </si>
  <si>
    <t>Faktor ukupnog rizika</t>
  </si>
  <si>
    <t>Procenat učešća marže pokrića u ukupnim prihodima</t>
  </si>
  <si>
    <t>Potreban redovan prihod za ostvarenje neutralnog finansijskog rezultata</t>
  </si>
  <si>
    <t>Procenat isko. potrebnih redovnih prihoda za post. neutr. fin. rezultata</t>
  </si>
  <si>
    <t>Tabela 4</t>
  </si>
  <si>
    <t>Tokovi obrtnog fonda</t>
  </si>
  <si>
    <t>Obrtni fond na početku godine</t>
  </si>
  <si>
    <t>Povećanje obrtnog fonda</t>
  </si>
  <si>
    <t>2.1.</t>
  </si>
  <si>
    <t>Povećanje kapitala</t>
  </si>
  <si>
    <t>2.2.</t>
  </si>
  <si>
    <t>Povećanje dugoročnih rezervisanja</t>
  </si>
  <si>
    <t>2.3.</t>
  </si>
  <si>
    <t>Povećanje dugoročnih obaveza</t>
  </si>
  <si>
    <t>2.4.</t>
  </si>
  <si>
    <t>Povećanje PVR</t>
  </si>
  <si>
    <t>2.5.</t>
  </si>
  <si>
    <t>Smanjenje stalne imovine</t>
  </si>
  <si>
    <t>2.6.</t>
  </si>
  <si>
    <t>Smanjenje upisanih a neup. deonica i AVR</t>
  </si>
  <si>
    <t>2.7.</t>
  </si>
  <si>
    <t xml:space="preserve"> Smanjenje gubitaka</t>
  </si>
  <si>
    <t>Smanjenje obrtnog fonda</t>
  </si>
  <si>
    <t>3.1.</t>
  </si>
  <si>
    <t>Smanjenje kapitala</t>
  </si>
  <si>
    <t>3.2.</t>
  </si>
  <si>
    <t>Smanjenje dugoročnih rezervisanja</t>
  </si>
  <si>
    <t>3.3.</t>
  </si>
  <si>
    <t>Smanjenje dugoročnih obaveza</t>
  </si>
  <si>
    <t>3.4.</t>
  </si>
  <si>
    <t>Smanjenje PVR</t>
  </si>
  <si>
    <t>3.5.</t>
  </si>
  <si>
    <t>Povećanje stalne imovine</t>
  </si>
  <si>
    <t>3.6.</t>
  </si>
  <si>
    <t>Povećanje upisanih a neup. deonica i AVR</t>
  </si>
  <si>
    <t>3.7.</t>
  </si>
  <si>
    <t>Povećanje gubitka</t>
  </si>
  <si>
    <t>Obrtni fond na kraju godine</t>
  </si>
  <si>
    <t>Stanje dugoročne finansijske ravnoteže</t>
  </si>
  <si>
    <t>Tabela 5</t>
  </si>
  <si>
    <t>Zaduženost i realna vrednost neto aktive</t>
  </si>
  <si>
    <t>Obaveze po kojima se u pravilu ne plaćaju kamate</t>
  </si>
  <si>
    <t>Kratkoročne obaveze na koje se plaćaju kamate</t>
  </si>
  <si>
    <t xml:space="preserve">Dugoročne obaveze na koje se plaća kamata </t>
  </si>
  <si>
    <t>Kapital</t>
  </si>
  <si>
    <t>Poslovna aktiva</t>
  </si>
  <si>
    <t>Porast poslovne aktive</t>
  </si>
  <si>
    <t>Indeks cena na malo</t>
  </si>
  <si>
    <t>Koeficijent očuvanja vrednosti neto aktive (1/2)</t>
  </si>
  <si>
    <t>Tabela 6</t>
  </si>
  <si>
    <t>Dugoročna finansijska ravnoteža</t>
  </si>
  <si>
    <t xml:space="preserve"> Zalihe</t>
  </si>
  <si>
    <t>Prelivanja u neposlovno područje</t>
  </si>
  <si>
    <t>Ukupno dugoročno imobilisana sredstva</t>
  </si>
  <si>
    <t>Dugoročni izvori sredstava</t>
  </si>
  <si>
    <t>Tabela 7</t>
  </si>
  <si>
    <t>Krajnje stanje zaliha</t>
  </si>
  <si>
    <t>Obrtni fond</t>
  </si>
  <si>
    <t>Pokrivenost (nepokrivenost) zaliha obrtnim fondom</t>
  </si>
  <si>
    <t>Tabela 8</t>
  </si>
  <si>
    <t>Akumulativna i reproduktivna sposobnost</t>
  </si>
  <si>
    <t>ili koeficijenti</t>
  </si>
  <si>
    <t>Akumulacija</t>
  </si>
  <si>
    <t>Bruto sredstva za reprodukciju</t>
  </si>
  <si>
    <t>Prosečna poslovna sredstva</t>
  </si>
  <si>
    <t>Koeficijent obrta poslovnih sredstava</t>
  </si>
  <si>
    <t>Stopa finansijskog rezultata</t>
  </si>
  <si>
    <t>Stopa rentabilnosti</t>
  </si>
  <si>
    <t>Stopa bruto reproduktivne sposobnosti</t>
  </si>
  <si>
    <t>Nabavna vrednost opreme</t>
  </si>
  <si>
    <t>Ispravka vrednosti opreme</t>
  </si>
  <si>
    <t>Stepen otpisanosti opreme</t>
  </si>
  <si>
    <t>Nabavna vrednost gr. objekata</t>
  </si>
  <si>
    <t>Ispravka vred. građ. objekata</t>
  </si>
  <si>
    <t>Stepen otpisanosti građ. objekata</t>
  </si>
  <si>
    <t>Tabela 9</t>
  </si>
  <si>
    <t>Pokazatelji kreditne sposobnosti</t>
  </si>
  <si>
    <t>koeficijenti</t>
  </si>
  <si>
    <t xml:space="preserve"> Pokazatelji finansijske stabilnosti</t>
  </si>
  <si>
    <t>1.1.</t>
  </si>
  <si>
    <t>Finansijska sigurnost</t>
  </si>
  <si>
    <t>1.2.</t>
  </si>
  <si>
    <t>Stepen samofinansisranja</t>
  </si>
  <si>
    <t>1.3.</t>
  </si>
  <si>
    <t>Stapen kreditne sposobnosti</t>
  </si>
  <si>
    <t>Pokazatelj likvidnosti</t>
  </si>
  <si>
    <t>Trenutna likvidnost</t>
  </si>
  <si>
    <t>2.2..</t>
  </si>
  <si>
    <t>Tekuća likvidnost</t>
  </si>
  <si>
    <t>Opšta likvidnost</t>
  </si>
  <si>
    <t>Racio kupci/dobavljači</t>
  </si>
  <si>
    <t>Tabela 10</t>
  </si>
  <si>
    <t>Dupont analiza</t>
  </si>
  <si>
    <t>Pokazatelji</t>
  </si>
  <si>
    <t>Neto rezultat/Ukupan prihod</t>
  </si>
  <si>
    <t>Neto rezultat/Poslovni prihodi</t>
  </si>
  <si>
    <t>Poslovni prihodi/Poslovna aktiva</t>
  </si>
  <si>
    <t>Poslovni prihodi/Kapital</t>
  </si>
  <si>
    <t>Poslovna aktiva/Kapital</t>
  </si>
  <si>
    <t>Neto rezultat/Kapital</t>
  </si>
  <si>
    <t>Indeks rasta cena na malo</t>
  </si>
  <si>
    <t>2001.</t>
  </si>
  <si>
    <t>2000.</t>
  </si>
  <si>
    <t>1999.</t>
  </si>
  <si>
    <t>1998.</t>
  </si>
  <si>
    <t>1997.</t>
  </si>
  <si>
    <t>237</t>
  </si>
  <si>
    <t xml:space="preserve">          d) Otkupljene sopstvene akcije</t>
  </si>
  <si>
    <t xml:space="preserve">          đ) Ostali kratkoročni plasmani</t>
  </si>
  <si>
    <t xml:space="preserve">   II. Emisiona premija</t>
  </si>
  <si>
    <t xml:space="preserve">  III. Rezerve iz dobitka (114 do 115)</t>
  </si>
  <si>
    <t xml:space="preserve">  IV. Nerasporedjeni dobitak</t>
  </si>
  <si>
    <t xml:space="preserve">   V. Revalorizacione rezerve</t>
  </si>
  <si>
    <t xml:space="preserve">    1. Rezervisanja za troškove i rizike</t>
  </si>
  <si>
    <t xml:space="preserve">   2. Odloženi revalorizacioni dobitak</t>
  </si>
  <si>
    <t>407</t>
  </si>
  <si>
    <t xml:space="preserve">   3. Odloženi negativni goodwill</t>
  </si>
  <si>
    <t xml:space="preserve">   4.Ostala dugoročna rezervisanja</t>
  </si>
  <si>
    <t>484</t>
  </si>
  <si>
    <t>I. Primljene donacije</t>
  </si>
  <si>
    <t>480 do 483 i 489</t>
  </si>
  <si>
    <t>Ostala pasivna vremenska razgraničenja</t>
  </si>
  <si>
    <t>148</t>
  </si>
  <si>
    <t>149</t>
  </si>
  <si>
    <t>Upisani a neuplaćeni kapital i AVR</t>
  </si>
  <si>
    <t>i procenjena sa istim diskontom u odnosu na knjigovodstvenu vrednost na dan procene;</t>
  </si>
  <si>
    <r>
      <t xml:space="preserve">    </t>
    </r>
    <r>
      <rPr>
        <b/>
        <i/>
        <sz val="11"/>
        <rFont val="Arial"/>
        <family val="2"/>
      </rPr>
      <t>Zalihe.</t>
    </r>
    <r>
      <rPr>
        <sz val="11"/>
        <rFont val="Arial"/>
        <family val="2"/>
      </rPr>
      <t xml:space="preserve"> </t>
    </r>
  </si>
  <si>
    <t>Zalihe materijala, robe i dati avansi procenjeni su na osnovu tržišnih cena po kojima</t>
  </si>
  <si>
    <t xml:space="preserve"> bi se mogle realizovati u postupku likvidacije, što  podrazumeva diskont od </t>
  </si>
  <si>
    <t>njihove  knjigovodstvene vrednosti.</t>
  </si>
  <si>
    <r>
      <t xml:space="preserve">  </t>
    </r>
    <r>
      <rPr>
        <b/>
        <i/>
        <sz val="11"/>
        <rFont val="Arial"/>
        <family val="2"/>
      </rPr>
      <t>Gradjevinski objekti.</t>
    </r>
    <r>
      <rPr>
        <sz val="11"/>
        <rFont val="Arial"/>
        <family val="2"/>
      </rPr>
      <t xml:space="preserve"> </t>
    </r>
  </si>
  <si>
    <t xml:space="preserve">Polaznu osnovu u proceni vrednosti objekata činile su cene nekretnina, preciznije cene nekretnina </t>
  </si>
  <si>
    <t>na lokaciji objekata preduzeća.</t>
  </si>
  <si>
    <t xml:space="preserve">Takodje, prilikom procene vrednosti objekta razmatrane su moguće opcije u vezi sa eventualnom </t>
  </si>
  <si>
    <t xml:space="preserve">promenom namene zgrade i utvrdjivanje cene objekta u tom slučaju. Procenjeno je </t>
  </si>
  <si>
    <t xml:space="preserve">da bi za tu svrhu bile potrebne značajne dodatne investicije,  i da bi one dale manju </t>
  </si>
  <si>
    <t xml:space="preserve">likvidacionu vrednost od one koja nastaje pretpostavkom prodaje za nastavak </t>
  </si>
  <si>
    <t>bavljenja istom ili sličnom delatnošću.</t>
  </si>
  <si>
    <t>xy</t>
  </si>
  <si>
    <r>
      <t>§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 Prvo, pri prodaji zgrade u ukupnu kvadraturu objekta uključeni su hodnici, stepenište i dr. </t>
    </r>
  </si>
  <si>
    <t>što smanjuje prosečnu cenu objekata po kvadratu u odnosu na npr. cenu poslovnog prostora;</t>
  </si>
  <si>
    <r>
      <t>§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 Drugo, zbog visokih kupoprodajnih cena kod zgrada postoji manja platežno sposobna</t>
    </r>
  </si>
  <si>
    <t xml:space="preserve"> tražnja u odnosu na tražnju koja na tržištu postoji za lokalima ili stanovima;</t>
  </si>
  <si>
    <t xml:space="preserve">Shodno prethodnom, vrednost građevinskog objekta procenjena je u iznosu od </t>
  </si>
  <si>
    <t>Likvidaciona vrednost opreme je određena uzimajući u obzir sadašnju tehničko-tehnološku kondiciju,</t>
  </si>
  <si>
    <r>
      <t xml:space="preserve">      </t>
    </r>
    <r>
      <rPr>
        <b/>
        <i/>
        <sz val="11"/>
        <rFont val="Arial"/>
        <family val="2"/>
      </rPr>
      <t>Oprema</t>
    </r>
    <r>
      <rPr>
        <i/>
        <sz val="11"/>
        <rFont val="Arial"/>
        <family val="2"/>
      </rPr>
      <t xml:space="preserve">. </t>
    </r>
  </si>
  <si>
    <t xml:space="preserve">stepen zastarelosti, stepen amortizovanosti i troškove demontaže. Polazeći od postojeće i </t>
  </si>
  <si>
    <t xml:space="preserve">alternativne upotrebe opreme, procenjuje se da bi se u slučaju hipotetičke likvidacije za ovaj </t>
  </si>
  <si>
    <t xml:space="preserve">deo imovine mogla postići cena od  </t>
  </si>
  <si>
    <r>
      <t>Dugoročni finansijski plasmani</t>
    </r>
    <r>
      <rPr>
        <sz val="11"/>
        <rFont val="Arial"/>
        <family val="2"/>
      </rPr>
      <t xml:space="preserve">. </t>
    </r>
  </si>
  <si>
    <t>Detaljna procena vrednosti opreme daje se u Prilogu.</t>
  </si>
  <si>
    <t>U odnosu na knjigovodstvenu vrednost likvidaciona vrednost iznosi</t>
  </si>
  <si>
    <t>Knjig. Vrednost</t>
  </si>
  <si>
    <t xml:space="preserve">što podrazumeva da su obaveze procenjene u punom iznosu kako su evidentirane i u knjigovodstvu.  </t>
  </si>
  <si>
    <t>Pregled likvidacione vrednosti obaveza dat je u sledećoj tabeli.</t>
  </si>
  <si>
    <r>
      <t xml:space="preserve">    </t>
    </r>
    <r>
      <rPr>
        <b/>
        <i/>
        <sz val="11"/>
        <rFont val="Arial"/>
        <family val="2"/>
      </rPr>
      <t>Obaveze.</t>
    </r>
  </si>
  <si>
    <t xml:space="preserve"> Pri procenjivanju vrednosti obaveza primenjen je princip najviše vrednosti, </t>
  </si>
  <si>
    <r>
      <t>Troškovi likvidacije</t>
    </r>
    <r>
      <rPr>
        <sz val="11"/>
        <rFont val="Arial"/>
        <family val="2"/>
      </rPr>
      <t xml:space="preserve"> </t>
    </r>
  </si>
  <si>
    <t>Procenjeni su troškovi likvidacije na bazi optimalnog scenarija i na bazi realne projekcije izdataka.</t>
  </si>
  <si>
    <t>Vrednost kapitala Preduzeća procenjena metodom likvidacione vrednosti, iznosi</t>
  </si>
  <si>
    <t xml:space="preserve"> hiljada dinara.</t>
  </si>
  <si>
    <t xml:space="preserve">Donošenje zaključka o vrednosti ukupnog kapitala pretpostavlja utvrđivanje raspona </t>
  </si>
  <si>
    <t xml:space="preserve">vrednosti kapitala, odnosno donošenje zaključka  o donjoj i gornjoj granici vrednosti ukupnog kapitala. </t>
  </si>
  <si>
    <t>U sledećoj tabeli dati su rezultati procene po metodu DNT i metodu LV.</t>
  </si>
  <si>
    <t>Dobijeni rezultati po metodu DNT</t>
  </si>
  <si>
    <t>Dobijeni rezultati po metodu  LV</t>
  </si>
  <si>
    <t>do</t>
  </si>
  <si>
    <t xml:space="preserve">odnosno od </t>
  </si>
  <si>
    <t>akcija od 1000 dinara</t>
  </si>
  <si>
    <t>akcija od 1000 dinara.</t>
  </si>
  <si>
    <t>Projekcija troškova bruto zarada</t>
  </si>
  <si>
    <t>Projekcija troškova amortizacije</t>
  </si>
  <si>
    <t>Projekcija nematerijalnih troškova</t>
  </si>
  <si>
    <t>103</t>
  </si>
  <si>
    <t>108</t>
  </si>
  <si>
    <t>113</t>
  </si>
  <si>
    <t>125</t>
  </si>
  <si>
    <t>Projekcija finansijskih prihoda i rashoda</t>
  </si>
  <si>
    <t>1</t>
  </si>
  <si>
    <t>Projektovani bilans uspeha</t>
  </si>
  <si>
    <t>Trajna obrtna sredstva</t>
  </si>
  <si>
    <t>Potencijalne uštede u %</t>
  </si>
  <si>
    <t xml:space="preserve">Na bazi analize utvrđeno je da su troškovi materijala pretežno varijabilnog karaktera, odnosno u najvećem delu </t>
  </si>
  <si>
    <t xml:space="preserve">zavisni su od obima i dinamike prihoda od prodaje. U strukturi troškova materijala procenjeno je da je </t>
  </si>
  <si>
    <t xml:space="preserve">troškova varijabilnog, a preostali deo fiksnog karaktera. Na bazi toga pri projekciji varijabilnog dela </t>
  </si>
  <si>
    <t xml:space="preserve">troškova materijala korišćen je odgovarajući odnos koji je utvrđen na bazi poređenja varijabilnog dela troškova materijala </t>
  </si>
  <si>
    <t xml:space="preserve">potencijalnih ušteda u troškovima materijala, u projektovanom periodu u apsolutnim iznosima. U narednoj tabeli data </t>
  </si>
  <si>
    <t>je rekapitulacija projekcije troškova materijala.</t>
  </si>
  <si>
    <t xml:space="preserve">i poslovnog prihoda, a to je </t>
  </si>
  <si>
    <t xml:space="preserve">47,45% </t>
  </si>
  <si>
    <t xml:space="preserve">poslovnog prihoda. Fiksni troškovi materijala projektovani su na bazi procenjenog </t>
  </si>
  <si>
    <t>apsolutnog iznosa od</t>
  </si>
  <si>
    <t xml:space="preserve">Analizom troškova energije utvrđeno je da se, u suštini, radi o  pretežno varijabilnom trošku. Za potrebe projekcija </t>
  </si>
  <si>
    <t xml:space="preserve">procenjeno je da je procenat učešća varijabilne komponente u strukturi troškova energije </t>
  </si>
  <si>
    <t xml:space="preserve">Na bazi navedenog varijabilni deo troškova energije projektovan je u visini od 0,9% poslovnog prihoda, dok je fiksni </t>
  </si>
  <si>
    <t xml:space="preserve">deo troškova projektovan u nivou od </t>
  </si>
  <si>
    <t xml:space="preserve">očekuje nastavak politike ispravljanja dispariteta cene energije, projekcija troškova energije uključila je i očekivani </t>
  </si>
  <si>
    <t xml:space="preserve">rast relativnih cena energije u prvoj godini za 10%, a u drugoj godini projekcije za još 5%. U narednoj tabeli </t>
  </si>
  <si>
    <t>data je projekcija troškova energije.</t>
  </si>
  <si>
    <t>Troškovi proizvodnih usluga projektovani su uz uvažavanje procenjenog odnosa fiksnih i varijabilnih troškova</t>
  </si>
  <si>
    <t xml:space="preserve"> u datoj vrsti troškova (odnos fiksnih i varijabilnih troškova je utvrđen na bazi analize podataka iz prethodnih perioda).</t>
  </si>
  <si>
    <t xml:space="preserve"> Varijabilni deo troškova proizvodnih usluga projektovan u nivou iskustvenog odnosa prema poslovnom prihodu, </t>
  </si>
  <si>
    <t xml:space="preserve">dok su fiksni troškovi projektovani u apsolutnom iznosu od </t>
  </si>
  <si>
    <t>U narednoj tabeli data je projekcija troškova proizvodnih usluga.</t>
  </si>
  <si>
    <t xml:space="preserve">i postojećeg broja radnika. Prema informacijama dobijenim od strane nadležnih službi, u periodu projekcije </t>
  </si>
  <si>
    <t xml:space="preserve">troškova bruto zarada projektovani samo porezi i doprinosi na teret radnika, dok se doprinosi na </t>
  </si>
  <si>
    <t xml:space="preserve">teret poslodavca projektuju kao posebna stavka unutar projekcije nematerijalnih troškova. </t>
  </si>
  <si>
    <t>dinara</t>
  </si>
  <si>
    <t xml:space="preserve">ne očekuju se značajne fluktuacije u broju zaposlenih. Treba imati u vidu da su pri projekciji </t>
  </si>
  <si>
    <t xml:space="preserve">Projekcija troškova bruto zarada pretpostavlja primeren realan rast zarada. </t>
  </si>
  <si>
    <t>U narednoj tabeli data je projekcija troškova bruto zarada.</t>
  </si>
  <si>
    <t xml:space="preserve">Primenom odgovarajućih amortizacionih stopa na nabavnu vrednost postojećih objekata i opreme </t>
  </si>
  <si>
    <t xml:space="preserve">obračunati su troškovi amortizacije. Osnovica za obračun u periodu projekcije sukcesivno se povećava </t>
  </si>
  <si>
    <t xml:space="preserve">usled predviđenih investicija u objekte i opremu u cilju očuvanja proizvodne kondicije osnovnih sredstava. </t>
  </si>
  <si>
    <t xml:space="preserve">Investicije u zamenu i održavanje osnovnih sredstava jednake su godišnjem iznosu amortizacije </t>
  </si>
  <si>
    <t>ovih sredstava. U narednoj tabeli data je projekcija troškova amortizacije.</t>
  </si>
  <si>
    <t xml:space="preserve">Nematerijalni troškovi projektovani su polazeći od karaktera pojedinih vrsta datih troškova. </t>
  </si>
  <si>
    <t xml:space="preserve">Varijabilni deo troškova projektovan je na bazi učešća datog dela troškova u poslovnim prihodima </t>
  </si>
  <si>
    <t>u baznoj godini, dok je fiksni deo troškova projektovan na zatečenom nivou (svedeno na cene</t>
  </si>
  <si>
    <t xml:space="preserve">Finansijski prihodi projektovani su na bazi realnog stanja dugoročnih finansijskih plasmana i procenjene </t>
  </si>
  <si>
    <t xml:space="preserve">stope od 1% godišnje. Imajući u vidu da preduzeće u strukturi izvora sredstava nema nikakve kreditne </t>
  </si>
  <si>
    <t xml:space="preserve">obaveze nisu obračunati rashodi kamata u projektovanom periodu. </t>
  </si>
  <si>
    <t>projektovanom periodu. Poreske olakšice po bilo kom osnovu se ne očekuju.</t>
  </si>
  <si>
    <t xml:space="preserve">Obuhvatanjem agregatnih iznosa pojedinih kategorija prihoda i rashoda dobijen je </t>
  </si>
  <si>
    <t xml:space="preserve">Prezentovani bilans uspeha dobijen je na bazi prethodno opisanih pretpostavki i predstavlja realnu </t>
  </si>
  <si>
    <t xml:space="preserve">osnovu za planiranje poslovanja preduzeća u narednom petogodišnjem periodu. </t>
  </si>
  <si>
    <t>026</t>
  </si>
  <si>
    <t xml:space="preserve">       2. Kratkoročni krediti</t>
  </si>
  <si>
    <t>133</t>
  </si>
  <si>
    <t>424 do 429</t>
  </si>
  <si>
    <t xml:space="preserve">       3. Ostale kratkoročne finansijske obaveze</t>
  </si>
  <si>
    <t>134</t>
  </si>
  <si>
    <t xml:space="preserve">       4. Primljeni avansi, depoziti i kaucije</t>
  </si>
  <si>
    <t>135</t>
  </si>
  <si>
    <t xml:space="preserve">       5. Dobavljači - povezana pravna lica</t>
  </si>
  <si>
    <t>432,433</t>
  </si>
  <si>
    <t xml:space="preserve">       6. Dobavljači</t>
  </si>
  <si>
    <t>434 do 439</t>
  </si>
  <si>
    <t xml:space="preserve">       7. Ostale obaveze iz poslovanja</t>
  </si>
  <si>
    <t xml:space="preserve">       8. Obaveze iz specifičnih poslova</t>
  </si>
  <si>
    <t xml:space="preserve">       9. Obaveze za zarade i naknade zarada</t>
  </si>
  <si>
    <t xml:space="preserve">     10. Obaveze za poreze i doprinose i druge dazbine</t>
  </si>
  <si>
    <t xml:space="preserve">     11. Druge obaveze</t>
  </si>
  <si>
    <t>G. PASIVNA VREMENSKA RAZGRANIČENJA</t>
  </si>
  <si>
    <t>D. POSLOVNA PASIVA (101+119+124+143)</t>
  </si>
  <si>
    <t>81</t>
  </si>
  <si>
    <t>DJ. VANPOSLOVNA PASIVA</t>
  </si>
  <si>
    <t>E. UKUPNA PASIVA (144+145)</t>
  </si>
  <si>
    <t xml:space="preserve">    VANBILANSNA PASIVA</t>
  </si>
  <si>
    <t>147</t>
  </si>
  <si>
    <t>Bilans uspeha</t>
  </si>
  <si>
    <t>Grupa računa,</t>
  </si>
  <si>
    <t>Račun</t>
  </si>
  <si>
    <t>Prihodi</t>
  </si>
  <si>
    <t>1. Prihodi od prodaje robe ( 203 do 205 )</t>
  </si>
  <si>
    <t>a) Prihodi od prodaje robe povezanim pravnim licima</t>
  </si>
  <si>
    <t>b) Prihodi od prodaje robe na domaćem tržištu</t>
  </si>
  <si>
    <t>v) Prihodi od prodaje robe na stranom tržištu</t>
  </si>
  <si>
    <t>2. Prihodi od prodaje proizvoda i usluga ( 207 do 209 )</t>
  </si>
  <si>
    <t>a) Prihodi od prodaje proizvoda i usluga povezanim pravnim licima</t>
  </si>
  <si>
    <t>b) Prihodi od prodaje proizvoda i usluga na domacem tržištu</t>
  </si>
  <si>
    <t>v) Prihodi od prodaje proizvoda i usluga na stranom tržištu</t>
  </si>
  <si>
    <t xml:space="preserve">3. Prihodi od aktiviranja učinaka i robe </t>
  </si>
  <si>
    <t>4. Prihodi od premija, subvencija, dotacija i sl.</t>
  </si>
  <si>
    <t>5. Drugi poslovni prihodi</t>
  </si>
  <si>
    <t>6. Povecanje vrednosti zaliha učinaka</t>
  </si>
  <si>
    <t>7. Smanjenje vrednosti zaliha učinaka</t>
  </si>
  <si>
    <t>Poslovni prihodi perioda (201 - 214)</t>
  </si>
  <si>
    <t>II. Rashodi direktnog materijala i robe ( 218 + 219 )</t>
  </si>
  <si>
    <t>1. Nabavna vrednost prodate robe</t>
  </si>
  <si>
    <t>2002/2001</t>
  </si>
  <si>
    <t>Troškovi materijala izrade</t>
  </si>
  <si>
    <t xml:space="preserve">Veoma mali rizik </t>
  </si>
  <si>
    <t xml:space="preserve">Mali rizik </t>
  </si>
  <si>
    <t>Obračun stope rizika ulaganja u preduzeće i SRJ</t>
  </si>
  <si>
    <t>Obračun stope bez rizika</t>
  </si>
  <si>
    <t xml:space="preserve">Srednji rizik </t>
  </si>
  <si>
    <t>Stopa ulaganja bez rizika</t>
  </si>
  <si>
    <t xml:space="preserve">Veoma veliki rizik </t>
  </si>
  <si>
    <t>Obračun stope za ulaganja sa rizikom</t>
  </si>
  <si>
    <t>2.1</t>
  </si>
  <si>
    <t>Broj radnika</t>
  </si>
  <si>
    <t>Vrednost poslovnih sredstava</t>
  </si>
  <si>
    <t>Ocena konkurencije</t>
  </si>
  <si>
    <t>2.2</t>
  </si>
  <si>
    <t xml:space="preserve">Menadžment potencijal, proizvodni portfolio, organizaciona i kadrovska osposobljenost </t>
  </si>
  <si>
    <t>Organizaciona struktura</t>
  </si>
  <si>
    <t>Kompaktnost rukovodećeg tima</t>
  </si>
  <si>
    <t>Strateško planiranje</t>
  </si>
  <si>
    <t>Proizvodni program</t>
  </si>
  <si>
    <t>Specijalizovano znanje jednog stručnjaka</t>
  </si>
  <si>
    <t>2.3</t>
  </si>
  <si>
    <t>Osnovna sredstva / Kapital</t>
  </si>
  <si>
    <t>Osnovna sredstva i Zalihe / Dugoročni kapital</t>
  </si>
  <si>
    <t>Sopstveni kapital / Ukupni kapital</t>
  </si>
  <si>
    <t>Kontribucioni dobitak / Prihod</t>
  </si>
  <si>
    <t>Finansijski rashod / Dobit</t>
  </si>
  <si>
    <t>2.4</t>
  </si>
  <si>
    <t>Proizvodna i geografska diversifikacija i potencijal prodaje</t>
  </si>
  <si>
    <t>Doprinos pojedinih proizvoda prihodu</t>
  </si>
  <si>
    <t>Postojanje dugoročnih ugovora</t>
  </si>
  <si>
    <t>Udeo inostranog plasmana u prihodu</t>
  </si>
  <si>
    <t>Pristup tržištu EZ</t>
  </si>
  <si>
    <t>Koncentracija kupaca</t>
  </si>
  <si>
    <t>Veličina i pozicija dominantnih kupaca</t>
  </si>
  <si>
    <t>Značaj proizvoda za kupce</t>
  </si>
  <si>
    <t>2.6</t>
  </si>
  <si>
    <t>Mogućnost predviđanja</t>
  </si>
  <si>
    <t>Starost preduzeća</t>
  </si>
  <si>
    <t>Stabilnost poslovnih rezultata</t>
  </si>
  <si>
    <t>Diskontinuiteti u poslovanju</t>
  </si>
  <si>
    <t>Promena privrednog ambijenta grane</t>
  </si>
  <si>
    <t>Stopa rizika ulaganja u konkretno preduzeće</t>
  </si>
  <si>
    <t>Stopa rizika ulaganja u SRJ</t>
  </si>
  <si>
    <t>Stopa rizika ulaganja za državljane posle servisiranja dugova</t>
  </si>
  <si>
    <t>Obračun stope za sopstveni i pozajmljeni kapital</t>
  </si>
  <si>
    <t>Sopstveni kapital</t>
  </si>
  <si>
    <t>Pozajmljeni kapital</t>
  </si>
  <si>
    <t>Stopa rizika ulaganja za državljane pre servisiranja dugova</t>
  </si>
  <si>
    <t>2. Troškovi materijala izrade</t>
  </si>
  <si>
    <t>Bruto poslovni gubitak ( 216+217-215)</t>
  </si>
  <si>
    <t>IV. Drugi poslovni rashodi ( 223+224+225+230+231+232+233+234+235)</t>
  </si>
  <si>
    <t>1. Troškovi ostalog materijala</t>
  </si>
  <si>
    <t>2. Troškovi goriva i energije</t>
  </si>
  <si>
    <t xml:space="preserve">3. Troškovi zarada, naknada zarada i ostali lični rashodi ( 226 do 229) </t>
  </si>
  <si>
    <t>a) Neto zarade i naknade zarada</t>
  </si>
  <si>
    <t>b) Porezi na zarade i naknade zarada</t>
  </si>
  <si>
    <t>v) Doprinosi na zarade i naknade zarada</t>
  </si>
  <si>
    <t>g) Ostali lični rashodi</t>
  </si>
  <si>
    <t>4. Troškovi proizvodnih usluga</t>
  </si>
  <si>
    <t>5. Troškovi amortizacije</t>
  </si>
  <si>
    <t>6. Troškovi rezervisanja za materijalne troškove</t>
  </si>
  <si>
    <t>550 do 555 i 559</t>
  </si>
  <si>
    <t>8. Troškovi poreza</t>
  </si>
  <si>
    <t>9. Troškovi doprinosa</t>
  </si>
  <si>
    <t>V. Poslovni dobitak ( 220 - 222)</t>
  </si>
  <si>
    <t>VI. Poslovni gubitak ( 222 - 220 +221)</t>
  </si>
  <si>
    <t>1. Finansijski prihodi od povezanih pravnih lica</t>
  </si>
  <si>
    <t>2. Prihodi od kamata</t>
  </si>
  <si>
    <t>3. Pozitivne kursne razlike</t>
  </si>
  <si>
    <t>4. Ostali finansijski prihodi</t>
  </si>
  <si>
    <t>II. Finansijski rashodi ( 244 do 248)</t>
  </si>
  <si>
    <t>1. Finansijski rashodi iz odnosa sa povezanim pravnim licima</t>
  </si>
  <si>
    <t>2. Rashodi kamata</t>
  </si>
  <si>
    <t>3. Negativne kursnne razlike</t>
  </si>
  <si>
    <t>4. Otpisi dugoročnih finansijskih plasmana</t>
  </si>
  <si>
    <t>5. Ostali finansijski rashodi</t>
  </si>
  <si>
    <t>III. Dobitak finansiranja ( 238 - 243)</t>
  </si>
  <si>
    <t xml:space="preserve">IV. Gubitak finansiranja ( 243 - 238) </t>
  </si>
  <si>
    <t>1. Dobici od prodaje osnovnih sredstava i nematerijalnih ulaganja</t>
  </si>
  <si>
    <t>2. Dobici od prodaje ucesca i dugoročnih hartija od vrednosti</t>
  </si>
  <si>
    <t>3. Dobici od prodaje materijala</t>
  </si>
  <si>
    <t>4. Prihodi iz ranijih godina</t>
  </si>
  <si>
    <t>5. Viskovi</t>
  </si>
  <si>
    <t>7. Ostali neposlovni i vanredni prihodi</t>
  </si>
  <si>
    <t>II. Neposlovni i vanredni rashodi (260 do 267 )</t>
  </si>
  <si>
    <t>570 i 571</t>
  </si>
  <si>
    <t>2. Gubici po osnovu prodaje ucesca i dugoročnih hartija od vrednosti</t>
  </si>
  <si>
    <t>3. Gubici od prodaje materijala</t>
  </si>
  <si>
    <t>4. Rashodi iz ranijih godina</t>
  </si>
  <si>
    <t>5. Manjkovi</t>
  </si>
  <si>
    <t>6. Otpisi obrtnih sredstava osim učinaka</t>
  </si>
  <si>
    <t>576 i  577</t>
  </si>
  <si>
    <t>7. Rashodi dugoročnih rezervisanja za rizike</t>
  </si>
  <si>
    <t>8. Ostali neposlovni i vanredni rashodi</t>
  </si>
  <si>
    <t>III. Neposlovni i vanredni dobitak ( 251 - 259 )</t>
  </si>
  <si>
    <t>IV. Neposlovni i vanredni gubitak ( 259 -251)</t>
  </si>
  <si>
    <t>1. Prihodi od revalorizacije osnovnih sredstava i nematerijalnih ulaganja</t>
  </si>
  <si>
    <t>2. Drugi revalorizacioni prihodi tekuće godine</t>
  </si>
  <si>
    <t>3. Prihodi od ukidanja odloženih revalorizacionih rezervi</t>
  </si>
  <si>
    <t>II. Revalorizacioni rashodi ( 275 do 277 )</t>
  </si>
  <si>
    <t>1. Rashodi po osnovu revalorizacije kapitala</t>
  </si>
  <si>
    <t>2. Drugi revalorizacioni rashodi</t>
  </si>
  <si>
    <t>3. Odlaganje revalorizacionih prihoda</t>
  </si>
  <si>
    <t>III. Revalorizacioni dobitak ( 270-274)</t>
  </si>
  <si>
    <t>IV. Revalorizacioni gubitak ( 274-270)</t>
  </si>
  <si>
    <t>II. Bruto gubitak ( 237+250+269+279)</t>
  </si>
  <si>
    <t>II. Gubitak ( 281-280)</t>
  </si>
  <si>
    <t>E. POREZI I DOPRINOSI IZ DOBITKA</t>
  </si>
  <si>
    <t>II. Neto gubitak (283+284)</t>
  </si>
  <si>
    <t>III. Neto gubitak (284 -282)</t>
  </si>
  <si>
    <t>Z. Ukupni prihodi (215+238+251+270)</t>
  </si>
  <si>
    <t>I. Ukupni rashodi ( 216+217+222+243+259+274)</t>
  </si>
  <si>
    <t>Nominalni osnovni</t>
  </si>
  <si>
    <t>Gubitak</t>
  </si>
  <si>
    <t>Kratkoročne obaveze I PVR</t>
  </si>
  <si>
    <t>Ukupna sadašnja vrednost</t>
  </si>
  <si>
    <t xml:space="preserve">     Godišnja otplata</t>
  </si>
  <si>
    <t>/raspoloživosti</t>
  </si>
  <si>
    <t>Potraživanja od kupca</t>
  </si>
  <si>
    <t xml:space="preserve">      Postojeći objekti</t>
  </si>
  <si>
    <t>Kategorije obrta korišćeni za projekciju</t>
  </si>
  <si>
    <t>Korišćeni</t>
  </si>
  <si>
    <t>iz tekućeg poslovanja</t>
  </si>
  <si>
    <t xml:space="preserve">      Postojeća oprema</t>
  </si>
  <si>
    <t xml:space="preserve">     Krajem godine (postojeći)</t>
  </si>
  <si>
    <t>ZEMLJIŠTE</t>
  </si>
  <si>
    <t>Projekcija kratkoročnih i dugoročnih kredita</t>
  </si>
  <si>
    <t xml:space="preserve">     Početkom godine (postojeći)</t>
  </si>
  <si>
    <t xml:space="preserve">     Početkom godine</t>
  </si>
  <si>
    <t>Projekcija kratkoročnih finansijskih plasmana</t>
  </si>
  <si>
    <t>KRATKOROČNI KREDITI</t>
  </si>
  <si>
    <t>DUGOROČNI KREDITI</t>
  </si>
  <si>
    <t>Kratkoročni finansijski plasmani</t>
  </si>
  <si>
    <t>/kratkoročnih obaveza</t>
  </si>
  <si>
    <t>Obaveze prema dobavljačima</t>
  </si>
  <si>
    <t>Kratkoročna potraživanja</t>
  </si>
  <si>
    <t>Dobavljači</t>
  </si>
  <si>
    <t>Projekcija neto novčanih tokova nakon servisiranja dugova u odabranom periodu projekcije</t>
  </si>
  <si>
    <t>=BRUTO NOVČANI TOK IZ POSLOVNE AKTIVNOSTI</t>
  </si>
  <si>
    <t>-Povećanje / + smanjenje kratkoročnih finansijskih plasmana</t>
  </si>
  <si>
    <t>=NOVČANI TOK IZ INVESTICIONE AKTIVNOSTI</t>
  </si>
  <si>
    <t>NETO NOVČANI TOK ZA UKUPNI KAPITAL</t>
  </si>
  <si>
    <t>-smanjenje kratkoročnih kredita</t>
  </si>
  <si>
    <t>-smanjenje dugoročnih kredita</t>
  </si>
  <si>
    <t>=NOVČANI TOK IZ FINANSIJSKE AKTIVNOSTI</t>
  </si>
  <si>
    <t>NETO NOVČANI TOK ZA SOPSTVENI KAPITAL</t>
  </si>
  <si>
    <t>Obračun neto novčanog toka za rezidualni period</t>
  </si>
  <si>
    <t>4%</t>
  </si>
  <si>
    <t>Projektovani bilansi stanja</t>
  </si>
  <si>
    <t xml:space="preserve">Projektovani bilans stanja                                          </t>
  </si>
  <si>
    <t>117</t>
  </si>
  <si>
    <t>122</t>
  </si>
  <si>
    <t>124</t>
  </si>
  <si>
    <t>109</t>
  </si>
  <si>
    <t>Projektovani bilans stanja</t>
  </si>
  <si>
    <t xml:space="preserve">     Dobavljač</t>
  </si>
  <si>
    <t>239</t>
  </si>
  <si>
    <t>140</t>
  </si>
  <si>
    <t>DUGORO^NA REZERVISANJA</t>
  </si>
  <si>
    <t>Provera realnosti projekcija</t>
  </si>
  <si>
    <t>Provera realnosti izvršenih projekcija utvrđena je na bazi odgovarajućih finansijskih pokazatelja koji se daju u sledećoj tabeli.</t>
  </si>
  <si>
    <t>Utvrđivanje cene sopstvenog kapitala (obračun diskontne stope)</t>
  </si>
  <si>
    <t>Red.</t>
  </si>
  <si>
    <t>br.</t>
  </si>
  <si>
    <t>Naziv</t>
  </si>
  <si>
    <t>Stope</t>
  </si>
  <si>
    <t>u %</t>
  </si>
  <si>
    <t>A</t>
  </si>
  <si>
    <t>Rizik ulaganja u preduzeće</t>
  </si>
  <si>
    <t>Veličina preduzeća</t>
  </si>
  <si>
    <t>Kvalitet oraganizacije, rukovodstva i kadrova</t>
  </si>
  <si>
    <t>Finansijski položaj</t>
  </si>
  <si>
    <t>Proizvodno-prodajni potencijal</t>
  </si>
  <si>
    <t xml:space="preserve">Mogućnost </t>
  </si>
  <si>
    <t>pouzdanog predviđanja poslovanja</t>
  </si>
  <si>
    <t>B</t>
  </si>
  <si>
    <t xml:space="preserve">Realna stopa prinosa </t>
  </si>
  <si>
    <t>Troškovi amortizacije</t>
  </si>
  <si>
    <t>Korekcija u proceni po LV</t>
  </si>
  <si>
    <t>LV vrednost bruto</t>
  </si>
  <si>
    <t>LV vrednost neto</t>
  </si>
  <si>
    <t>28</t>
  </si>
  <si>
    <t>29</t>
  </si>
  <si>
    <t>31</t>
  </si>
  <si>
    <t>32</t>
  </si>
  <si>
    <t>44</t>
  </si>
  <si>
    <t>45</t>
  </si>
  <si>
    <t>46</t>
  </si>
  <si>
    <t>47</t>
  </si>
  <si>
    <t>48</t>
  </si>
  <si>
    <t>10</t>
  </si>
  <si>
    <t>107</t>
  </si>
  <si>
    <t>138</t>
  </si>
  <si>
    <t>105</t>
  </si>
  <si>
    <t>137</t>
  </si>
  <si>
    <t>110</t>
  </si>
  <si>
    <t>139</t>
  </si>
  <si>
    <t>111</t>
  </si>
  <si>
    <t>80</t>
  </si>
  <si>
    <t>141</t>
  </si>
  <si>
    <t>143</t>
  </si>
  <si>
    <t>88</t>
  </si>
  <si>
    <t>89</t>
  </si>
  <si>
    <t>11</t>
  </si>
  <si>
    <t>12</t>
  </si>
  <si>
    <t>13</t>
  </si>
  <si>
    <t>14</t>
  </si>
  <si>
    <t>21</t>
  </si>
  <si>
    <t>230</t>
  </si>
  <si>
    <t>236</t>
  </si>
  <si>
    <t>240</t>
  </si>
  <si>
    <t>7.9. UTVRĐIVANJE TROŠKOVA LIKVIDACIJE</t>
  </si>
  <si>
    <t>R.br.</t>
  </si>
  <si>
    <t>O  p  i  s</t>
  </si>
  <si>
    <t>Osnov.</t>
  </si>
  <si>
    <t>C e n a</t>
  </si>
  <si>
    <t>Meseci</t>
  </si>
  <si>
    <t>I z n o s</t>
  </si>
  <si>
    <t>A. DIREKTNI TROŠKOVI</t>
  </si>
  <si>
    <t>1.</t>
  </si>
  <si>
    <t>Naknada likvidac.upravniku</t>
  </si>
  <si>
    <t>2.</t>
  </si>
  <si>
    <t>Zaposleni po objektima</t>
  </si>
  <si>
    <t>3.</t>
  </si>
  <si>
    <t>Zaposleni u upravi</t>
  </si>
  <si>
    <t>4.</t>
  </si>
  <si>
    <t>Honorari komis.za licitacije</t>
  </si>
  <si>
    <t>5.</t>
  </si>
  <si>
    <t>Troš.održ.opreme(imovine)</t>
  </si>
  <si>
    <t>6.</t>
  </si>
  <si>
    <t>Provizije banaka</t>
  </si>
  <si>
    <t>7.</t>
  </si>
  <si>
    <t>Materij. i nematerij.troškovi</t>
  </si>
  <si>
    <t>8.</t>
  </si>
  <si>
    <t>Nepredviđeni troškovi</t>
  </si>
  <si>
    <t>B. INDIREKTNI TROŠKOVI</t>
  </si>
  <si>
    <t>9.</t>
  </si>
  <si>
    <t>Sudski troš., takse i oglasi</t>
  </si>
  <si>
    <t>10.</t>
  </si>
  <si>
    <t>Troškovi pravnih usluga</t>
  </si>
  <si>
    <t>11.</t>
  </si>
  <si>
    <t>Troškovi osiguranja</t>
  </si>
  <si>
    <t>12.</t>
  </si>
  <si>
    <t>Ostali nepomenuti troškovi</t>
  </si>
  <si>
    <t>C. UKUPNI TROŠKOVI LIKVIDACIJE ( A + B )</t>
  </si>
  <si>
    <t>300</t>
  </si>
  <si>
    <t>301</t>
  </si>
  <si>
    <t>305</t>
  </si>
  <si>
    <t>306</t>
  </si>
  <si>
    <t>Struktura kapitala preduzeća utvrđena je na bazi knjigovodstvene evidencije i ostalih relevantnih informacija i daje se u sledećoj tabeli.</t>
  </si>
  <si>
    <t>Struktura kapitala</t>
  </si>
  <si>
    <t>Vrsta kapitala</t>
  </si>
  <si>
    <t>Učešće u %</t>
  </si>
  <si>
    <t>Društveni kapital</t>
  </si>
  <si>
    <t>Akcijski kapital</t>
  </si>
  <si>
    <t>UKUPNI KAPITAL</t>
  </si>
  <si>
    <t>100,00</t>
  </si>
  <si>
    <t xml:space="preserve">     DISKONTOVANIH NOVČANIH TOKOVA (DNT)</t>
  </si>
  <si>
    <t xml:space="preserve">Pošto je poslovanje svakog privrednog subjekta pod znatnim uticajem očekivanih kretanja privrede i </t>
  </si>
  <si>
    <t xml:space="preserve">grane u kojoj preduzeće posluje, bitan elemenat pri projekcijama predstavljale su osnovne </t>
  </si>
  <si>
    <t xml:space="preserve">pretpostavke o razvoju privrede i grane u projektovanom periodu. Polazeći od poslovnih performansi </t>
  </si>
  <si>
    <t xml:space="preserve">preduzeća iz proteklog perioda, uz uvažavanje planova preduzeća, kao i očekivanih kretanja u razvoju </t>
  </si>
  <si>
    <t xml:space="preserve">privrede i grane, produkovane su pojedine pozicije bilansa uspeha, bilansa stanja i rezultirajućih novčanih tokova. </t>
  </si>
  <si>
    <t>DUGOROČNI FINANSIJSKI PLASMANI</t>
  </si>
  <si>
    <t>Kapital po KKV</t>
  </si>
  <si>
    <t>4. PROCENA VREDNOSTI KAPITALA PO METODU</t>
  </si>
  <si>
    <t>4.1. FINANSIJSKA ANALIZA</t>
  </si>
  <si>
    <r>
      <t>4.1.1.</t>
    </r>
    <r>
      <rPr>
        <b/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 xml:space="preserve">Bazične pretpostavke projekcije </t>
    </r>
  </si>
  <si>
    <t xml:space="preserve">Metod DNT podrazumeva da je vrednost ukupnog kapitala preduzeća opredeljena sadašnjom vrednošću novčanih tokova koje će preduzeće odbaciti u budućem </t>
  </si>
  <si>
    <t xml:space="preserve">periodu. Pri tome, pretpostavlja se da će preduzeće poslovati na “going concern” principu, tj. pretpostavljen je kontinuitet poslovanja u budućem periodu. </t>
  </si>
  <si>
    <t xml:space="preserve">Važećom metodologijom u vezi sa korišćenjem metoda DNT propisano je korišćenje koncepta neto novčanih tokova nakon servisiranja dugova (neto novčani tok za </t>
  </si>
  <si>
    <t>sopstveni kapital). Samim tim, opredeljen je i način utvrđivanja diskontne stope koja treba da odrazi cenu sopstvenog kapitala.</t>
  </si>
  <si>
    <t xml:space="preserve">Projekcija novčanih tokova po godinama urađena je do momenta u kome dolazi do stabilizacije novčanih tokova. Korišćenjem odgovarajućih diskontnih faktora novčani </t>
  </si>
  <si>
    <t xml:space="preserve">tokovi svedeni su na sadašnju vrednost (diskontovanje). </t>
  </si>
  <si>
    <t xml:space="preserve">Sadašnja vrednost novčanih tokova koje će preduzeće odbaciti u periodu nakon isteka projektovanog perioda do kraja životnog veka, procenjena je u dva koraka. Prvo </t>
  </si>
  <si>
    <t xml:space="preserve">je utvrđena rezidualna vrednost uz korišćenje formule Gordonovog modela beskonačnog rasta, koja podrazumeva da se rezidualna vrednost dobija kao količnik </t>
  </si>
  <si>
    <t xml:space="preserve">slobodnog novčanog toka iz prve godine nakon isteka projektovanog perioda i razlike između diskontne stope (cene sopstvenog kapitala) i stope rasta neto novčanih </t>
  </si>
  <si>
    <t xml:space="preserve">tokova u rezidualu. U drugom koraku izvršeno je diskontovanje (svođenje na sadašnju vrednost) tako dobijene rezidualne vrednosti, uz korišćenje odgovarajućeg diskontnog faktora. </t>
  </si>
  <si>
    <t xml:space="preserve">U cilju adekvatne procene vrednosti kapitala po metodu DNT izvršena je analiza finansijskih informacija iz poslovne istorije preduzeća (poslednjih pet godina). Nakon </t>
  </si>
  <si>
    <t xml:space="preserve">toga urađena je projekcija bilansa uspeha i bilansa stanja, na bazi čega je izvršena projekcija očekivanih novčanih tokova. </t>
  </si>
  <si>
    <t>4.1.1.1. Pretpostavke o razvoju privrede</t>
  </si>
  <si>
    <t xml:space="preserve">4.1.1.2. Pretpostavke o razvoju grane  </t>
  </si>
  <si>
    <t xml:space="preserve">4.1.1.3. Pretpostavke o razvoju preduzeća </t>
  </si>
  <si>
    <r>
      <t>4.2.</t>
    </r>
    <r>
      <rPr>
        <b/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Projekcija bilansa uspeha</t>
    </r>
  </si>
  <si>
    <t xml:space="preserve">Polazeći od činjenice da je osnovni proizvod koji proizvodi </t>
  </si>
  <si>
    <t xml:space="preserve"> koji omogućuje stabilnu proizvodnju u </t>
  </si>
  <si>
    <t xml:space="preserve">narednom periodu uz nesmetano korišćenje kapaciteta u visini od oko </t>
  </si>
  <si>
    <t xml:space="preserve"> može se zaključiti da su obezbeđeni opšti preduslovi </t>
  </si>
  <si>
    <t xml:space="preserve">dan 31.12.2002. godine. Naravno, pri projekciji obuhvaćene su očekivane promene relativnih cena inputa i outputa </t>
  </si>
  <si>
    <t>4.2.1. Planirani poslovni prihodi</t>
  </si>
  <si>
    <t>Pri projekciji prihoda od prodaje proizvoda projektovan je prihod od prodaje po strukturi koja je zadnjih godina dominirala</t>
  </si>
  <si>
    <t xml:space="preserve">i koja se saglasno prirodi delatnosti preduzeća može smatrati reprezentativnom za projekcije u narednom periodu. Projekcija date </t>
  </si>
  <si>
    <t xml:space="preserve">S obzirom da se projekcije daju u stalnim cenama na dan 31.12.2002. godine izvršeno je prilagođavanje pojedinih </t>
  </si>
  <si>
    <t>(1,05). Originalni, kao i bilans uspeha izražen u cenama iz decembra 2002. godine daju se u sledećoj tabeli.</t>
  </si>
  <si>
    <t>Bilans uspeha  preduzeća na dan 31.12.2002. godine</t>
  </si>
  <si>
    <t>31.12.2002.</t>
  </si>
  <si>
    <t xml:space="preserve">pozicija bilansa uspeha za 2002. godinu na nivo cena iz decembra meseca uz primenu odgovarajućeg koeficijenta </t>
  </si>
  <si>
    <t xml:space="preserve">izraženog u cenama iz decembra 2002. godine uz korišćenje očekivanih stopa rasta prihoda, koje su dobijene na </t>
  </si>
  <si>
    <t xml:space="preserve">proizvodnje u narednim godinama uvažavajući ograničenje u vezi sa instalisanim kapacitetom preduzeća. </t>
  </si>
  <si>
    <t xml:space="preserve"> Planirani stepen iskorišćenosti proizvodnog kapaciteta Preduzeća dat je u narednoj tabeli.</t>
  </si>
  <si>
    <t>4.2.2. Planirani rashodi</t>
  </si>
  <si>
    <t xml:space="preserve">hiljada dinara godišnje (svedeno na cene iz decembra 2002. godine). Takođe, uvažena je procena </t>
  </si>
  <si>
    <r>
      <t xml:space="preserve">u  </t>
    </r>
    <r>
      <rPr>
        <sz val="11"/>
        <rFont val="Arial"/>
        <family val="2"/>
      </rPr>
      <t>000 din</t>
    </r>
  </si>
  <si>
    <t xml:space="preserve"> hilj. dinara godišnje (svedeno na cene iz decembra 2002. godine). S obzirom da se u narednom periodu </t>
  </si>
  <si>
    <t xml:space="preserve"> hilj. dinara godišnje (svedeno na cene iz decembra 2002. godine). </t>
  </si>
  <si>
    <t xml:space="preserve">Troškovi bruto zarada projektovani su polazeći od nivoa prosečno isplaćene bruto zarade po radniku za decembar 2002. godine </t>
  </si>
  <si>
    <t xml:space="preserve"> iz decembra 2002. godine). U narednoj tabeli data je projekcija nematerijalnih troškova.</t>
  </si>
  <si>
    <t>4.2.3. Finansijski prihodi i rashodi</t>
  </si>
  <si>
    <t>4.2.4. Troškovi poreza na dobit</t>
  </si>
  <si>
    <t>projektovani bilans uspeha preduzeća za period od 2003-2007. godine.</t>
  </si>
  <si>
    <t xml:space="preserve">Projekcija troškova poreza na dobit pretpostavlja postojeću poresku stopu od 14% u celom </t>
  </si>
  <si>
    <r>
      <t>4.3.</t>
    </r>
    <r>
      <rPr>
        <b/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Projekcija bilansa stanja</t>
    </r>
  </si>
  <si>
    <t xml:space="preserve">Projekcije pretpostavljaju optimistički scenario razvoja privrede i zemlje u periodu projekcije (videti deo o </t>
  </si>
  <si>
    <t xml:space="preserve">informacijama o privredi koji je dat u prethodnom poglavlju). </t>
  </si>
  <si>
    <t xml:space="preserve">Optimistički scenario pretpostavlja odlučno sprovođenje ekonomskih reformi i značajan priliv stranog kapitala u </t>
  </si>
  <si>
    <t xml:space="preserve">obliku direktnih investicija, kredita i donacija. Takođe, ovaj scenario pretpostavlja da će se već u 2002. godini </t>
  </si>
  <si>
    <t xml:space="preserve">stvoriti tržišni ambijent u osnovnim konturama. Očekivani priliv stranog kapitala u obliku direktnih investicija, kredita  </t>
  </si>
  <si>
    <t xml:space="preserve">i donacija iznosi oko 2 mlrd USD godišnje. Pretpostavljeni rast društvenog proizvoda iznosi 6% za 2002. godinu, </t>
  </si>
  <si>
    <t xml:space="preserve">7% u naredne dve godine, i 6% u poslednje dve godine projekcije. Očekuje se dalji nastavak sprovođenja čvrste </t>
  </si>
  <si>
    <t xml:space="preserve">monetarne politike uz podršku odgovarajuće fiskalne politike, u funkciji permanentnog smanjenja inflacije u </t>
  </si>
  <si>
    <t xml:space="preserve">budućem periodu (u 2002. godini na nivo od oko 15% godišnje, u narednoj godini na nivo od oko 10%, i u periodu </t>
  </si>
  <si>
    <t xml:space="preserve">2004-2006. godina na nivo ispod 10% godišnje). </t>
  </si>
  <si>
    <t xml:space="preserve">Takođe, pretpostavlja se da će oporavak i konsolidacija bankarskog sektora doprineti daljem razvoju privrede, kao </t>
  </si>
  <si>
    <t xml:space="preserve">i budućoj afirmaciji tržišta kapitala. </t>
  </si>
  <si>
    <t xml:space="preserve">Projekcije uvažavaju i iznete činjenice u vezi sa dosadašnjim i budućim razvojem grane u periodu projekcije (videti </t>
  </si>
  <si>
    <t xml:space="preserve">deo o informacijama o grani koji je dat u prethodnom poglavlju). </t>
  </si>
  <si>
    <t xml:space="preserve">Intenzivan povratak SRJ u međunarodnu zajednicu, odnosno bitno poboljšanje njenog međunarodnog statusa, kao </t>
  </si>
  <si>
    <t xml:space="preserve">i očekivanja u vezi sa potpisivanjem bilateralnih sporazuma o slobodnoj trgovini između zemalja jugoistočne Evrope imaće </t>
  </si>
  <si>
    <t xml:space="preserve">pozitivan uticaj na razvoj turizma i ugostiteljstva u zemlji. Navedene okolnosti, kao i očekivani porast životnog standarda, imaće </t>
  </si>
  <si>
    <t xml:space="preserve">za rezultat pozitivan uticaj na poslovanje preduzeća koje je predmet procene. </t>
  </si>
  <si>
    <t xml:space="preserve">za dalji rast i razvoj preduzeća u projektovanom periodu. </t>
  </si>
  <si>
    <t xml:space="preserve">Polazeći od propisane metodologije projekcija pojedinih pozicija bilansa uspeha izvršena je u stalnim cenama na </t>
  </si>
  <si>
    <t>usled ispravljanja dispariteta cena.</t>
  </si>
  <si>
    <t xml:space="preserve">kategorije prihoda zasnovana je na prodajnom potencijalu preduzeća, uz uvažavanje očekivanih uslova poslovanja u </t>
  </si>
  <si>
    <t xml:space="preserve">projektovanom periodu, kao i očekivane tržišne pozicije preduzeća. </t>
  </si>
  <si>
    <t xml:space="preserve">Projekcija prihoda od prodaje proizvoda na domaćem tržištu izvršena je polazeći od odgovarajućeg prihoda </t>
  </si>
  <si>
    <t xml:space="preserve">bazi pretpostavki o planiranom realnom rastu obima prodaje. </t>
  </si>
  <si>
    <t xml:space="preserve">Projekcija prihoda od prodaje proizvoda na domaćem tržištu pretpostavlja da će realni rast obima prihoda rasti po predviđenim </t>
  </si>
  <si>
    <t>Propisana stopa amortizacije opreme</t>
  </si>
  <si>
    <t>Stepen korišćenja kapaciteta</t>
  </si>
  <si>
    <t>Planirani stepen iskorišćenosti kapaciteta</t>
  </si>
  <si>
    <t>O p i s</t>
  </si>
  <si>
    <t>Procenat</t>
  </si>
  <si>
    <t>S obzirom na činjenicu da se očekuje stabilizacija prodajne cene sveže kalifornijske pastrmke projekcije pretpostavljaju da neće doći do relativnih promena cene pastrmke u projektovanom periodu. Takođe, pretpostavljeno je da će preduzeće zadržati postojeći nivo tržišnog učešća.</t>
  </si>
  <si>
    <t>Projekcija prihoda od prodaje proizvoda na domaćem tržištu</t>
  </si>
  <si>
    <t>- 000 din</t>
  </si>
  <si>
    <t>2002</t>
  </si>
  <si>
    <t>2003</t>
  </si>
  <si>
    <t>2004</t>
  </si>
  <si>
    <t>2005</t>
  </si>
  <si>
    <t>2006</t>
  </si>
  <si>
    <t>U narednoj tabeli data je rekapitulacija projektovanog iznosa osnovnih kategorija poslovnog prihoda.</t>
  </si>
  <si>
    <t xml:space="preserve">     Ostale kratkoročne obaveze</t>
  </si>
  <si>
    <t xml:space="preserve">     Pasivna vremenska razgraničenja</t>
  </si>
  <si>
    <t>Dugoročni i kratkoročni krediti / investirani kapital</t>
  </si>
  <si>
    <t>Komponente cene sopstvenog kapitala</t>
  </si>
  <si>
    <t>Premija za rizik na ulaganje u preduzeće</t>
  </si>
  <si>
    <t xml:space="preserve">       veličina subjekta</t>
  </si>
  <si>
    <t xml:space="preserve">       finansijski položaj</t>
  </si>
  <si>
    <t xml:space="preserve">       mogućnost pouzdanog predvidjanja poslovanja</t>
  </si>
  <si>
    <t>Neto novčani tok nakon servisiranja dugova</t>
  </si>
  <si>
    <t>Obračun osnovne DNT vrednosti kapitala</t>
  </si>
  <si>
    <t>Sadašnja vrednost neto novčanih tokova</t>
  </si>
  <si>
    <t>Obračun donje granične DNT vrednosti kapitala</t>
  </si>
  <si>
    <t>Osnovno stado i ostala osnovna sredstva</t>
  </si>
  <si>
    <t>331</t>
  </si>
  <si>
    <t>VI Revalorizacione rezerve</t>
  </si>
  <si>
    <t>2002.</t>
  </si>
  <si>
    <t>NEUPLAĆENI UPISANI KAPITAL</t>
  </si>
  <si>
    <t>Obračun gornje granične vrednosti</t>
  </si>
  <si>
    <t>Pokrivenost zaliha obrtnim fondom</t>
  </si>
  <si>
    <t>Dugoročne imobilizacije</t>
  </si>
  <si>
    <t>Dugoročni izvori</t>
  </si>
  <si>
    <t>Neto obrtni fond</t>
  </si>
  <si>
    <t>Tabela: Obrtni fond i pokrivenost zaliha</t>
  </si>
  <si>
    <t>Vrednost kapitala po metodu DNT predstavlja zbir sadašnje vrednosti neto novčanih tokova u projektovanom periodu i sadašnje vrednosti rezidualne vrednosti.</t>
  </si>
  <si>
    <t>Projekcije su izvršene za period od pet godina (2002-2006. godina).</t>
  </si>
  <si>
    <t>Pri projekciji uvažene su tri osnovne grupe pretpostavki: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</si>
  <si>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pretpostavke o razvoju privrede,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</si>
  <si>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pretpostavke o razvoju grane,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</si>
  <si>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pretpostavke o razvoju preduzeća.</t>
    </r>
  </si>
  <si>
    <t>Projekcija poslovnog prihoda pretpostavlja projekciju: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</si>
  <si>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prihoda od prodaje proizvoda; i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</si>
  <si>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ostalih prihoda.</t>
    </r>
  </si>
  <si>
    <t>stopama rasta:</t>
  </si>
  <si>
    <t xml:space="preserve">Projektovane stope rasta bazirane su na realnom očekivanju o rehabilitaciji poslovanja preduzeća u toku 2002. godine, i mogućim rastom obima </t>
  </si>
  <si>
    <t>1. Likvidaciona vrednost imovine</t>
  </si>
  <si>
    <t>2. Obaveze</t>
  </si>
  <si>
    <t>4. Osnovna likvidaciona vrednost kapitala (1-2-3)</t>
  </si>
  <si>
    <t>Donja granična DNT vrednost kapitala</t>
  </si>
  <si>
    <t>Gornja granična DNT vrednost kapitala</t>
  </si>
  <si>
    <t>Osnovna likvidaciona vrednost kapitala</t>
  </si>
  <si>
    <t>NAZIV POZICIJE</t>
  </si>
  <si>
    <t>%</t>
  </si>
  <si>
    <t>OBRTNA IMOVINA</t>
  </si>
  <si>
    <t>Zalihe</t>
  </si>
  <si>
    <t>STALNA IMOVINA</t>
  </si>
  <si>
    <t>Osnovna sredstva</t>
  </si>
  <si>
    <t>POSLOVNA AKTIVA</t>
  </si>
  <si>
    <t>UKUPNA AKTIVA</t>
  </si>
  <si>
    <t>Gotovinski ekvivalenti i gotovina</t>
  </si>
  <si>
    <t xml:space="preserve">      Materijal</t>
  </si>
  <si>
    <t xml:space="preserve">      Gotovi proizvodi</t>
  </si>
  <si>
    <t xml:space="preserve">       Nabavna vrednost</t>
  </si>
  <si>
    <t xml:space="preserve">       Ispravka vrednosti</t>
  </si>
  <si>
    <t>VANPOSLOVNA AKTIVA</t>
  </si>
  <si>
    <t>OBAVEZE</t>
  </si>
  <si>
    <t xml:space="preserve">      Obaveze za zarade i naknade zarada</t>
  </si>
  <si>
    <t>KAPITAL</t>
  </si>
  <si>
    <t>Osnovni kapital</t>
  </si>
  <si>
    <t>Rezerve iz dobitka</t>
  </si>
  <si>
    <t>Nerasporedjeni dobitak</t>
  </si>
  <si>
    <t>POSLOVNA PASIVA</t>
  </si>
  <si>
    <t>VANPOSLOVNA PASIVA</t>
  </si>
  <si>
    <t>UKUPNA PASIVA</t>
  </si>
  <si>
    <t>Tabela: Struktura zaliha u razmatranom periodu</t>
  </si>
  <si>
    <t xml:space="preserve">      Roba</t>
  </si>
  <si>
    <t xml:space="preserve">      Dati avansi</t>
  </si>
  <si>
    <t>Odnos ukupnih obaveza i neto imovine</t>
  </si>
  <si>
    <t>Odnos ukupnih obaveza i ukupne pasive</t>
  </si>
  <si>
    <t>Rigorozni racio likvidnosti</t>
  </si>
  <si>
    <t>POSLOVNI PRIHODI</t>
  </si>
  <si>
    <t>Ostali poslovni prihodi</t>
  </si>
  <si>
    <t xml:space="preserve">      Ostali poslovni prihodi</t>
  </si>
  <si>
    <t>POSLOVNI RASHODI</t>
  </si>
  <si>
    <t>POSLOVNI DOBITAK</t>
  </si>
  <si>
    <t>FINANSIJSKI PRIHODI</t>
  </si>
  <si>
    <t>FINANSIJSKI RASHODI</t>
  </si>
  <si>
    <t>DOBIT PRE OPOREZIVANJA</t>
  </si>
  <si>
    <t>Porez na dobit</t>
  </si>
  <si>
    <t>REVALORIZACIONI REZULTAT</t>
  </si>
  <si>
    <t>NETO REZULTAT</t>
  </si>
  <si>
    <t xml:space="preserve">      Prihodi od kamata</t>
  </si>
  <si>
    <t>NEPOSLOVNI PRIHODI</t>
  </si>
  <si>
    <t>NEPOSLOVNI RASHODI</t>
  </si>
  <si>
    <t xml:space="preserve">      Nabavna vrednost prodate robe</t>
  </si>
  <si>
    <t xml:space="preserve">      Rashodi kamate</t>
  </si>
  <si>
    <t>Tabela: Stopa rasta poslovnih prihoda</t>
  </si>
  <si>
    <t>Prihodi od prodaje u inostranstvu - nominalno</t>
  </si>
  <si>
    <t>Prihodi od prodaje u inostranstvu - realno</t>
  </si>
  <si>
    <t>Prihodi od prodaje u zemlji - realno</t>
  </si>
  <si>
    <t>Prihodi od prodaje u zemlji - nominalno</t>
  </si>
  <si>
    <t>Koeficijent obrta zaliha</t>
  </si>
  <si>
    <t>Koeficijent obrta kupaca</t>
  </si>
  <si>
    <t>Koeficijent obrta ukupnih sredstava</t>
  </si>
  <si>
    <t>Tabela: Pokazatelji finansijske strukture</t>
  </si>
  <si>
    <t>Tabela: Prihodi od prodaje u zemlji inostranstvu</t>
  </si>
  <si>
    <t>Tabela: Analiza obrta sredstava</t>
  </si>
  <si>
    <t>Keficijent obrta dobavljaca</t>
  </si>
  <si>
    <t>Kurs Din / Dem (prosek perioda)</t>
  </si>
  <si>
    <t>Nematerijalna ulaganja</t>
  </si>
  <si>
    <t xml:space="preserve">      Pozitivne kursne razlike i ostali fina. prihodi</t>
  </si>
  <si>
    <t xml:space="preserve">      Negativne kursne razlike i ostali rashodi</t>
  </si>
  <si>
    <t>REZULTAT IZ FINASIJSKE AKTIVNOSTI</t>
  </si>
  <si>
    <t>REZULTAT IZ VANREDNE AKTIVNOSTI</t>
  </si>
  <si>
    <t>REVALORIZACIONI PRIHODI</t>
  </si>
  <si>
    <t>REVALORIZACIONI RASHODI</t>
  </si>
  <si>
    <t>Tabela: Analiza prinosne snage</t>
  </si>
  <si>
    <t>Trajna obrtna sredstva / Poslovni prihodi</t>
  </si>
  <si>
    <t xml:space="preserve">                                  od kupaca</t>
  </si>
  <si>
    <t>Tabela: Investirani kapital</t>
  </si>
  <si>
    <t>Investirani kapital</t>
  </si>
  <si>
    <t>Projekcija prihoda od prodaje u zemlji</t>
  </si>
  <si>
    <t>Varijabla</t>
  </si>
  <si>
    <t>Godina projekcije</t>
  </si>
  <si>
    <t>I</t>
  </si>
  <si>
    <t>II</t>
  </si>
  <si>
    <t>III</t>
  </si>
  <si>
    <t>IV</t>
  </si>
  <si>
    <t>V</t>
  </si>
  <si>
    <t>PROJEKTOVANI PRIHOD OD PRODAJE</t>
  </si>
  <si>
    <t>Projekcija prihoda od prodaje u inostranstvu</t>
  </si>
  <si>
    <t>Tabela Rekapitulacija projekcije poslovnih prihoda</t>
  </si>
  <si>
    <t>PROJEKTOVANI POSLOVNI PRIHOD</t>
  </si>
  <si>
    <t>Projekcija ostalih poslovnih prihoda</t>
  </si>
  <si>
    <t>PROSEK</t>
  </si>
  <si>
    <t>Ukupno pre promene cene</t>
  </si>
  <si>
    <t>Cenovni multiplikator</t>
  </si>
  <si>
    <t>Projektovani tro{kovi energije</t>
  </si>
  <si>
    <t>Nabavna vrednost</t>
  </si>
  <si>
    <t>Amortizacija</t>
  </si>
  <si>
    <t xml:space="preserve">    Kumulativ novih investicija</t>
  </si>
  <si>
    <t>GRADJEVINSKI OBJEKTI</t>
  </si>
  <si>
    <t>OPREMA</t>
  </si>
  <si>
    <t>NEMATERIJALNA ULAGANJA</t>
  </si>
  <si>
    <t>UKUPNA AMORTIZACIJA:</t>
  </si>
  <si>
    <t>Tabela: Projekcija nematerijalnih tro{kova</t>
  </si>
  <si>
    <t>Tabela: Projekcija finansijskih prihoda i rashoda</t>
  </si>
  <si>
    <t>Finansijski prihodi na dug. finan. plasmane</t>
  </si>
  <si>
    <t>Ukupne kamate</t>
  </si>
  <si>
    <t>Neto finansijski rashodi</t>
  </si>
  <si>
    <t>Projektovani bilansi uspeha u odabranom periodu projekcije</t>
  </si>
  <si>
    <t>Naziv pozicije</t>
  </si>
  <si>
    <t xml:space="preserve">Bazna </t>
  </si>
  <si>
    <t>godina</t>
  </si>
  <si>
    <t>Ostali prihodi</t>
  </si>
  <si>
    <t>DOBITAK PRE OPOREZIVANJA</t>
  </si>
  <si>
    <t>Porez na dobitak</t>
  </si>
  <si>
    <t>NETO DOBITAK</t>
  </si>
  <si>
    <t>Koeficijent obrta</t>
  </si>
  <si>
    <t>Broj dana vezivanja</t>
  </si>
  <si>
    <t>Gotovi proizvodi</t>
  </si>
  <si>
    <t>Gotovina</t>
  </si>
  <si>
    <t>Obaveze za bruto zarade</t>
  </si>
  <si>
    <t>Sirovine i materijal</t>
  </si>
  <si>
    <t>Projekcija potrebnog nivoa obrtnih sredstava i njihovih izvora</t>
  </si>
  <si>
    <t>Pozicija</t>
  </si>
  <si>
    <t>OBRTNA SREDSTVA</t>
  </si>
  <si>
    <t>Obaveze za zarade i naknade zarada</t>
  </si>
  <si>
    <t>IZVORI OBRTNIH SREDSTAVA IZ TEKU]EG POSLOVANJA</t>
  </si>
  <si>
    <t>TRAJNA OBRTNA SREDSTVA</t>
  </si>
  <si>
    <t>INVESTICIJE U TRAJNA OBRTNA SREDSTAVA</t>
  </si>
  <si>
    <t>Efekti sredstava i izvora sredstava</t>
  </si>
  <si>
    <t>KO</t>
  </si>
  <si>
    <t>Potrebna sredstva i izvori sredstava</t>
  </si>
  <si>
    <t xml:space="preserve">     Materijal</t>
  </si>
  <si>
    <t xml:space="preserve">     Gotovi proizvodi</t>
  </si>
  <si>
    <t>Projekcija osnovnih sredstava</t>
  </si>
  <si>
    <t>Godine projekcije</t>
  </si>
  <si>
    <t>Ispravka vrednosti</t>
  </si>
  <si>
    <t>Ukupna nabavna vrednost</t>
  </si>
  <si>
    <t>Ukupna ispravka vrednosti</t>
  </si>
  <si>
    <t xml:space="preserve">      Kumulativ novih investicija</t>
  </si>
  <si>
    <t xml:space="preserve">     Krajem godine</t>
  </si>
  <si>
    <t>-Porez na dobitak</t>
  </si>
  <si>
    <t xml:space="preserve">3. Troškovi sprovo]enja postupka likvidacije likvidacije </t>
  </si>
  <si>
    <t>dinara,</t>
  </si>
  <si>
    <t xml:space="preserve">Imajući u vidu da je osnovna likvidaciona vrednost veća od donje granične vrednosti DNT metode, vrednost ukupnog kapitala Preduzeća procenjuje se u rasponu od </t>
  </si>
  <si>
    <t>Imajući u vidu prodajni potencijal, odnosno dugogodišnje stabilne uslove poslovanja iako je okruženje bilo problematično usled boniteta fabrikeovaj vid rizika procenjen je u visini navedene stope.</t>
  </si>
  <si>
    <t xml:space="preserve">Preduzeće u prošlom periodu imalo relativno dobru finansijsku strukturu pa se ovaj faktor diskontne stope kvantifikuje sa datom stopom rizika. </t>
  </si>
  <si>
    <t xml:space="preserve">koeficijenata obrta za obaveze po osnovu bruto zarada i obaveze za nematerijalne troškove od 12, </t>
  </si>
  <si>
    <t xml:space="preserve">pretpostavljena korekcija postojećih koeficijenata obrta za pozicije obrtnih sredstava i obaveza prema dobavljačima. </t>
  </si>
  <si>
    <t xml:space="preserve">Polazeći od datih pretpostavki, urađena je projekcija neophodnih obrtnih sredstava i izvora </t>
  </si>
  <si>
    <t>iz tekućeg poslovanja, odnosno potrebnih investicija u trajna obrtna sredstva, koja se daje na sledećoj strani. I</t>
  </si>
  <si>
    <t xml:space="preserve">nvesticije u trajna obrtna sredstva predstavljaju apsolutnu razliku nivoa trajnih obrtnih sredstava u datoj </t>
  </si>
  <si>
    <t>godini i nivoa trajnih obrtnih sredstava u prethodnoj godini projekcije.</t>
  </si>
  <si>
    <t>Polazeći od stava da se procenjuje preduzeće “takvo kakvo je”, u projekciji nisu uključene</t>
  </si>
  <si>
    <t xml:space="preserve"> investicije u osnovna sredstva koje bi značajno promenile prinosnu snagu preduzeća. Stoga je projekcija </t>
  </si>
  <si>
    <t xml:space="preserve">osnovnih sredstava bazirana na pretpostavci o reinvestiranju oslobođenog iznosa sredstava </t>
  </si>
  <si>
    <t xml:space="preserve">po osnovu godišnjih iznosa amortizacije. </t>
  </si>
  <si>
    <t xml:space="preserve">kumulativnog rezultata iz bilansa uspeha. </t>
  </si>
  <si>
    <t xml:space="preserve">Dodatno, pošto je kumulativni neto novčani tok u periodu projekcije pozitivan u odgovarajućim </t>
  </si>
  <si>
    <t xml:space="preserve">iznosima izvršena je projekcija slobodne gotovine generisane iz projektovanih neto novčanih tokova. </t>
  </si>
  <si>
    <t xml:space="preserve">Time je uspostavljena ravnoteža bilansa stanja u periodu projekcije.  </t>
  </si>
  <si>
    <t xml:space="preserve">Kapital je projektovan kao zbir visine neto kapitala iz bazne godine i projektovanog iznosa </t>
  </si>
  <si>
    <t xml:space="preserve">Neto novčani tokovi, kao što je već rečeno, projektovani su u varijanti nakon servisiranja dugova, </t>
  </si>
  <si>
    <t xml:space="preserve">odnosno u varijanti neto novčanih tokova za sopstveni kapital. Projekcija neto novčanih tokova, </t>
  </si>
  <si>
    <t xml:space="preserve">kao i pozicija bilansa stanja, urađena je za narednih pet godina. U sledećoj tabeli data je projekcija </t>
  </si>
  <si>
    <t xml:space="preserve">neto novčanih tokova u periodu projekcije. </t>
  </si>
  <si>
    <t xml:space="preserve">Na osnovu projekcije neto novčanog toka može se videti da se radi o likvidnom preduzeću koje </t>
  </si>
  <si>
    <t xml:space="preserve">bez obzira na negativan novčani tok iz investicione aktivnosti, po osnovu novčanog toka iz poslovne </t>
  </si>
  <si>
    <t xml:space="preserve">aktivnosti, ostvaruje zadovoljavajuću likvidnost ukupnog novčanog toka. </t>
  </si>
  <si>
    <t xml:space="preserve">Kao što je već rečeno, procena vrednosti kapitala po metodu DNT podrazumeva i utvrđivanje rezidualne </t>
  </si>
  <si>
    <t xml:space="preserve">vrednosti, odnosno vrednosti neto novčanih tokova koju će preduzeće odbaciti nakon isteka projektovanog </t>
  </si>
  <si>
    <t>Koeficijent za korekciju BU dec 2002,/prosek 2002,</t>
  </si>
  <si>
    <r>
      <t xml:space="preserve">AKTIVA 
</t>
    </r>
    <r>
      <rPr>
        <sz val="10"/>
        <rFont val="Arial"/>
        <family val="2"/>
      </rPr>
      <t xml:space="preserve"> A. NEUPLAĆENI UPISANI KAPITAL</t>
    </r>
  </si>
  <si>
    <t>PASIVA 
A. KAPITAL (102+111+112+113+116)</t>
  </si>
  <si>
    <t>314</t>
  </si>
  <si>
    <t xml:space="preserve">      3. Rezerve iz viška reval.prihoda nad reval.rashodima</t>
  </si>
  <si>
    <t xml:space="preserve">   II. Rezervisanja za penzije</t>
  </si>
  <si>
    <t>xu</t>
  </si>
</sst>
</file>

<file path=xl/styles.xml><?xml version="1.0" encoding="utf-8"?>
<styleSheet xmlns="http://schemas.openxmlformats.org/spreadsheetml/2006/main">
  <numFmts count="6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0.0%"/>
    <numFmt numFmtId="189" formatCode="#,##0.0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"/>
    <numFmt numFmtId="196" formatCode="0.000"/>
    <numFmt numFmtId="197" formatCode="0.000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000000"/>
    <numFmt numFmtId="204" formatCode="0.000000%"/>
    <numFmt numFmtId="205" formatCode="0.0000000%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_);_(* \(#,##0.000\);_(* &quot;-&quot;???_);_(@_)"/>
    <numFmt numFmtId="210" formatCode="#,##0.00000"/>
    <numFmt numFmtId="211" formatCode="#,##0.000000"/>
    <numFmt numFmtId="212" formatCode="_(* #,##0.0_);_(* \(#,##0.0\);_(* &quot;-&quot;??_);_(@_)"/>
    <numFmt numFmtId="213" formatCode="_(* #,##0_);_(* \(#,##0\);_(* &quot;-&quot;??_);_(@_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00000"/>
    <numFmt numFmtId="219" formatCode="#,##0.000000000"/>
    <numFmt numFmtId="220" formatCode="#,##0.00000000"/>
  </numFmts>
  <fonts count="7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Symbol"/>
      <family val="1"/>
    </font>
    <font>
      <sz val="7"/>
      <name val="Times New Roman"/>
      <family val="1"/>
    </font>
    <font>
      <i/>
      <sz val="11"/>
      <name val="Arial"/>
      <family val="2"/>
    </font>
    <font>
      <b/>
      <sz val="7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vertAlign val="superscript"/>
      <sz val="11"/>
      <name val="Arial"/>
      <family val="2"/>
    </font>
    <font>
      <sz val="11"/>
      <name val="Times New Roman"/>
      <family val="1"/>
    </font>
    <font>
      <sz val="11"/>
      <name val="Wingdings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HelveticaPlain"/>
      <family val="0"/>
    </font>
    <font>
      <i/>
      <sz val="10"/>
      <name val="CTimesRoman"/>
      <family val="0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gray125">
        <bgColor indexed="49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ashDotDot">
        <color indexed="17"/>
      </left>
      <right style="dashDotDot">
        <color indexed="17"/>
      </right>
      <top style="dashDotDot">
        <color indexed="17"/>
      </top>
      <bottom style="dashDotDot">
        <color indexed="17"/>
      </bottom>
    </border>
    <border>
      <left style="dashDotDot">
        <color indexed="17"/>
      </left>
      <right style="thick">
        <color indexed="17"/>
      </right>
      <top style="dashDotDot">
        <color indexed="17"/>
      </top>
      <bottom style="dashDotDot">
        <color indexed="17"/>
      </bottom>
    </border>
    <border>
      <left style="thick">
        <color indexed="17"/>
      </left>
      <right style="dashDotDot">
        <color indexed="17"/>
      </right>
      <top style="thick">
        <color indexed="17"/>
      </top>
      <bottom style="dashDotDot">
        <color indexed="17"/>
      </bottom>
    </border>
    <border>
      <left style="thick">
        <color indexed="17"/>
      </left>
      <right style="dashDotDot">
        <color indexed="17"/>
      </right>
      <top style="dashDotDot">
        <color indexed="17"/>
      </top>
      <bottom style="dashDotDot">
        <color indexed="17"/>
      </bottom>
    </border>
    <border>
      <left style="thick">
        <color indexed="17"/>
      </left>
      <right style="dashDotDot">
        <color indexed="17"/>
      </right>
      <top style="dashDotDot">
        <color indexed="17"/>
      </top>
      <bottom style="thick">
        <color indexed="17"/>
      </bottom>
    </border>
    <border>
      <left style="dashDotDot">
        <color indexed="17"/>
      </left>
      <right style="dashDotDot">
        <color indexed="17"/>
      </right>
      <top style="dashDotDot">
        <color indexed="17"/>
      </top>
      <bottom style="thick">
        <color indexed="17"/>
      </bottom>
    </border>
    <border>
      <left style="dashDotDot">
        <color indexed="17"/>
      </left>
      <right style="thick">
        <color indexed="17"/>
      </right>
      <top style="dashDotDot">
        <color indexed="17"/>
      </top>
      <bottom style="thick">
        <color indexed="17"/>
      </bottom>
    </border>
    <border>
      <left style="dashDotDot">
        <color indexed="17"/>
      </left>
      <right style="dashDotDot">
        <color indexed="17"/>
      </right>
      <top style="thick">
        <color indexed="17"/>
      </top>
      <bottom style="dashDotDot">
        <color indexed="17"/>
      </bottom>
    </border>
    <border>
      <left style="dashDotDot">
        <color indexed="17"/>
      </left>
      <right style="medium">
        <color indexed="17"/>
      </right>
      <top style="dashDotDot">
        <color indexed="17"/>
      </top>
      <bottom style="dashDotDot">
        <color indexed="17"/>
      </bottom>
    </border>
    <border>
      <left style="dashDotDot">
        <color indexed="17"/>
      </left>
      <right style="dashDotDot">
        <color indexed="17"/>
      </right>
      <top style="dashDotDot">
        <color indexed="17"/>
      </top>
      <bottom style="medium">
        <color indexed="17"/>
      </bottom>
    </border>
    <border>
      <left style="dashDotDot">
        <color indexed="17"/>
      </left>
      <right style="medium">
        <color indexed="17"/>
      </right>
      <top style="dashDotDot">
        <color indexed="17"/>
      </top>
      <bottom style="medium">
        <color indexed="17"/>
      </bottom>
    </border>
    <border>
      <left style="dashDotDot">
        <color indexed="17"/>
      </left>
      <right style="dashDotDot">
        <color indexed="17"/>
      </right>
      <top style="medium">
        <color indexed="17"/>
      </top>
      <bottom style="dashDotDot">
        <color indexed="17"/>
      </bottom>
    </border>
    <border>
      <left style="dashDotDot">
        <color indexed="17"/>
      </left>
      <right style="medium">
        <color indexed="17"/>
      </right>
      <top style="medium">
        <color indexed="17"/>
      </top>
      <bottom style="dashDotDot">
        <color indexed="17"/>
      </bottom>
    </border>
    <border>
      <left style="dashDotDot">
        <color indexed="17"/>
      </left>
      <right style="thick">
        <color indexed="17"/>
      </right>
      <top style="thick">
        <color indexed="17"/>
      </top>
      <bottom style="dashDotDot">
        <color indexed="17"/>
      </bottom>
    </border>
    <border>
      <left style="double"/>
      <right style="medium"/>
      <top style="double"/>
      <bottom style="thick"/>
    </border>
    <border>
      <left>
        <color indexed="63"/>
      </left>
      <right style="medium"/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double"/>
      <top style="thick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17"/>
      </left>
      <right style="dashDotDot">
        <color indexed="17"/>
      </right>
      <top style="medium">
        <color indexed="17"/>
      </top>
      <bottom style="dashDotDot">
        <color indexed="17"/>
      </bottom>
    </border>
    <border>
      <left style="medium">
        <color indexed="17"/>
      </left>
      <right style="dashDotDot">
        <color indexed="17"/>
      </right>
      <top style="dashDotDot">
        <color indexed="17"/>
      </top>
      <bottom style="dashDotDot">
        <color indexed="17"/>
      </bottom>
    </border>
    <border>
      <left style="medium">
        <color indexed="17"/>
      </left>
      <right style="dashDotDot">
        <color indexed="17"/>
      </right>
      <top style="dashDotDot">
        <color indexed="17"/>
      </top>
      <bottom>
        <color indexed="63"/>
      </bottom>
    </border>
    <border>
      <left style="dashDotDot">
        <color indexed="17"/>
      </left>
      <right style="dashDotDot">
        <color indexed="17"/>
      </right>
      <top style="dashDotDot">
        <color indexed="17"/>
      </top>
      <bottom>
        <color indexed="63"/>
      </bottom>
    </border>
    <border>
      <left style="dashDotDot">
        <color indexed="17"/>
      </left>
      <right style="medium">
        <color indexed="17"/>
      </right>
      <top style="dashDotDot">
        <color indexed="17"/>
      </top>
      <bottom>
        <color indexed="63"/>
      </bottom>
    </border>
    <border>
      <left style="medium">
        <color indexed="17"/>
      </left>
      <right style="dashDotDot">
        <color indexed="17"/>
      </right>
      <top>
        <color indexed="63"/>
      </top>
      <bottom style="dashDotDot">
        <color indexed="17"/>
      </bottom>
    </border>
    <border>
      <left style="dashDotDot">
        <color indexed="17"/>
      </left>
      <right style="dashDotDot">
        <color indexed="17"/>
      </right>
      <top>
        <color indexed="63"/>
      </top>
      <bottom style="dashDotDot">
        <color indexed="17"/>
      </bottom>
    </border>
    <border>
      <left style="dashDotDot">
        <color indexed="17"/>
      </left>
      <right style="medium">
        <color indexed="17"/>
      </right>
      <top>
        <color indexed="63"/>
      </top>
      <bottom style="dashDotDot">
        <color indexed="17"/>
      </bottom>
    </border>
    <border>
      <left style="medium">
        <color indexed="17"/>
      </left>
      <right style="dashDotDot">
        <color indexed="17"/>
      </right>
      <top style="dashDotDot">
        <color indexed="17"/>
      </top>
      <bottom style="medium">
        <color indexed="17"/>
      </bottom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uble"/>
    </border>
    <border>
      <left style="double"/>
      <right>
        <color indexed="63"/>
      </right>
      <top style="thin"/>
      <bottom style="double"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dotted"/>
      <right style="dotted"/>
      <top style="dotted"/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tted"/>
      <top style="dotted"/>
      <bottom>
        <color indexed="63"/>
      </bottom>
    </border>
    <border>
      <left style="dotted"/>
      <right style="double"/>
      <top style="double"/>
      <bottom style="dotted"/>
    </border>
    <border>
      <left style="dotted"/>
      <right style="double"/>
      <top style="dotted"/>
      <bottom style="double"/>
    </border>
    <border>
      <left style="dashDotDot">
        <color indexed="17"/>
      </left>
      <right style="double">
        <color indexed="17"/>
      </right>
      <top style="dashDotDot">
        <color indexed="17"/>
      </top>
      <bottom style="dashDotDot">
        <color indexed="17"/>
      </bottom>
    </border>
    <border>
      <left style="double">
        <color indexed="17"/>
      </left>
      <right style="dashDotDot">
        <color indexed="17"/>
      </right>
      <top style="dashDotDot">
        <color indexed="17"/>
      </top>
      <bottom style="dashDotDot">
        <color indexed="17"/>
      </bottom>
    </border>
    <border>
      <left style="double">
        <color indexed="17"/>
      </left>
      <right style="dashDotDot">
        <color indexed="17"/>
      </right>
      <top style="dashDotDot">
        <color indexed="17"/>
      </top>
      <bottom style="double">
        <color indexed="17"/>
      </bottom>
    </border>
    <border>
      <left style="dashDotDot">
        <color indexed="17"/>
      </left>
      <right style="dashDotDot">
        <color indexed="17"/>
      </right>
      <top style="dashDotDot">
        <color indexed="17"/>
      </top>
      <bottom style="double">
        <color indexed="17"/>
      </bottom>
    </border>
    <border>
      <left style="dashDotDot">
        <color indexed="17"/>
      </left>
      <right style="double">
        <color indexed="17"/>
      </right>
      <top style="dashDotDot">
        <color indexed="17"/>
      </top>
      <bottom style="double">
        <color indexed="17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7"/>
      </left>
      <right style="dashDotDot">
        <color indexed="17"/>
      </right>
      <top style="double">
        <color indexed="17"/>
      </top>
      <bottom style="dashDotDot">
        <color indexed="17"/>
      </bottom>
    </border>
    <border>
      <left style="dashDotDot">
        <color indexed="17"/>
      </left>
      <right style="double">
        <color indexed="17"/>
      </right>
      <top style="double">
        <color indexed="17"/>
      </top>
      <bottom style="dashDotDot">
        <color indexed="17"/>
      </bottom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tted"/>
      <bottom style="dotted"/>
    </border>
    <border>
      <left style="double"/>
      <right style="double"/>
      <top style="dotted"/>
      <bottom>
        <color indexed="63"/>
      </bottom>
    </border>
    <border>
      <left style="double"/>
      <right style="double"/>
      <top style="dotted"/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uble"/>
      <bottom style="thin"/>
    </border>
    <border>
      <left style="dashDotDot">
        <color indexed="17"/>
      </left>
      <right style="dashDotDot">
        <color indexed="17"/>
      </right>
      <top style="double">
        <color indexed="17"/>
      </top>
      <bottom style="dashDotDot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1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5" fillId="33" borderId="10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9" fontId="5" fillId="33" borderId="0" xfId="59" applyFont="1" applyFill="1" applyAlignment="1">
      <alignment/>
    </xf>
    <xf numFmtId="188" fontId="0" fillId="33" borderId="0" xfId="59" applyNumberFormat="1" applyFont="1" applyFill="1" applyAlignment="1">
      <alignment/>
    </xf>
    <xf numFmtId="9" fontId="0" fillId="33" borderId="0" xfId="59" applyFont="1" applyFill="1" applyAlignment="1">
      <alignment/>
    </xf>
    <xf numFmtId="3" fontId="0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0" fontId="0" fillId="33" borderId="0" xfId="59" applyNumberFormat="1" applyFont="1" applyFill="1" applyAlignment="1">
      <alignment/>
    </xf>
    <xf numFmtId="193" fontId="0" fillId="33" borderId="0" xfId="59" applyNumberFormat="1" applyFont="1" applyFill="1" applyAlignment="1">
      <alignment/>
    </xf>
    <xf numFmtId="0" fontId="5" fillId="33" borderId="11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4" fontId="0" fillId="33" borderId="0" xfId="59" applyNumberFormat="1" applyFont="1" applyFill="1" applyAlignment="1">
      <alignment horizontal="center"/>
    </xf>
    <xf numFmtId="0" fontId="0" fillId="33" borderId="11" xfId="0" applyFont="1" applyFill="1" applyBorder="1" applyAlignment="1">
      <alignment/>
    </xf>
    <xf numFmtId="9" fontId="0" fillId="33" borderId="0" xfId="59" applyNumberFormat="1" applyFont="1" applyFill="1" applyAlignment="1">
      <alignment horizontal="center"/>
    </xf>
    <xf numFmtId="189" fontId="6" fillId="33" borderId="0" xfId="59" applyNumberFormat="1" applyFont="1" applyFill="1" applyAlignment="1">
      <alignment horizontal="center"/>
    </xf>
    <xf numFmtId="3" fontId="6" fillId="33" borderId="0" xfId="59" applyNumberFormat="1" applyFont="1" applyFill="1" applyAlignment="1">
      <alignment horizontal="center"/>
    </xf>
    <xf numFmtId="188" fontId="0" fillId="33" borderId="0" xfId="59" applyNumberFormat="1" applyFont="1" applyFill="1" applyAlignment="1">
      <alignment horizontal="center"/>
    </xf>
    <xf numFmtId="188" fontId="6" fillId="33" borderId="0" xfId="59" applyNumberFormat="1" applyFont="1" applyFill="1" applyAlignment="1">
      <alignment horizontal="center"/>
    </xf>
    <xf numFmtId="188" fontId="6" fillId="33" borderId="11" xfId="59" applyNumberFormat="1" applyFont="1" applyFill="1" applyBorder="1" applyAlignment="1">
      <alignment horizontal="center"/>
    </xf>
    <xf numFmtId="3" fontId="0" fillId="33" borderId="0" xfId="59" applyNumberFormat="1" applyFont="1" applyFill="1" applyAlignment="1">
      <alignment horizontal="center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9" fontId="7" fillId="35" borderId="0" xfId="0" applyNumberFormat="1" applyFont="1" applyFill="1" applyAlignment="1">
      <alignment horizontal="center"/>
    </xf>
    <xf numFmtId="9" fontId="6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" fontId="8" fillId="35" borderId="0" xfId="0" applyNumberFormat="1" applyFont="1" applyFill="1" applyAlignment="1">
      <alignment/>
    </xf>
    <xf numFmtId="0" fontId="5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188" fontId="0" fillId="35" borderId="13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9" fontId="0" fillId="33" borderId="0" xfId="0" applyNumberFormat="1" applyFont="1" applyFill="1" applyBorder="1" applyAlignment="1">
      <alignment horizontal="center"/>
    </xf>
    <xf numFmtId="188" fontId="0" fillId="33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9" fontId="0" fillId="35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center"/>
    </xf>
    <xf numFmtId="197" fontId="0" fillId="35" borderId="13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4" fontId="0" fillId="33" borderId="0" xfId="59" applyNumberFormat="1" applyFont="1" applyFill="1" applyAlignment="1">
      <alignment/>
    </xf>
    <xf numFmtId="10" fontId="5" fillId="33" borderId="0" xfId="59" applyNumberFormat="1" applyFont="1" applyFill="1" applyAlignment="1">
      <alignment/>
    </xf>
    <xf numFmtId="0" fontId="5" fillId="33" borderId="14" xfId="0" applyFont="1" applyFill="1" applyBorder="1" applyAlignment="1">
      <alignment/>
    </xf>
    <xf numFmtId="3" fontId="5" fillId="33" borderId="14" xfId="59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9" fontId="0" fillId="33" borderId="0" xfId="0" applyNumberFormat="1" applyFont="1" applyFill="1" applyAlignment="1">
      <alignment/>
    </xf>
    <xf numFmtId="191" fontId="0" fillId="33" borderId="0" xfId="59" applyNumberFormat="1" applyFont="1" applyFill="1" applyAlignment="1">
      <alignment/>
    </xf>
    <xf numFmtId="10" fontId="0" fillId="33" borderId="0" xfId="59" applyNumberFormat="1" applyFont="1" applyFill="1" applyAlignment="1">
      <alignment horizontal="center"/>
    </xf>
    <xf numFmtId="10" fontId="5" fillId="33" borderId="0" xfId="59" applyNumberFormat="1" applyFont="1" applyFill="1" applyAlignment="1">
      <alignment horizontal="center"/>
    </xf>
    <xf numFmtId="3" fontId="5" fillId="33" borderId="14" xfId="59" applyNumberFormat="1" applyFont="1" applyFill="1" applyBorder="1" applyAlignment="1">
      <alignment horizontal="center"/>
    </xf>
    <xf numFmtId="3" fontId="5" fillId="33" borderId="0" xfId="59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10" fontId="0" fillId="33" borderId="14" xfId="59" applyNumberFormat="1" applyFont="1" applyFill="1" applyBorder="1" applyAlignment="1">
      <alignment horizontal="center"/>
    </xf>
    <xf numFmtId="3" fontId="0" fillId="33" borderId="15" xfId="59" applyNumberFormat="1" applyFont="1" applyFill="1" applyBorder="1" applyAlignment="1">
      <alignment horizontal="center"/>
    </xf>
    <xf numFmtId="10" fontId="0" fillId="33" borderId="11" xfId="59" applyNumberFormat="1" applyFont="1" applyFill="1" applyBorder="1" applyAlignment="1">
      <alignment/>
    </xf>
    <xf numFmtId="3" fontId="0" fillId="33" borderId="11" xfId="59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 horizontal="center"/>
    </xf>
    <xf numFmtId="3" fontId="5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9" fontId="0" fillId="33" borderId="0" xfId="59" applyNumberFormat="1" applyFont="1" applyFill="1" applyAlignment="1">
      <alignment/>
    </xf>
    <xf numFmtId="4" fontId="5" fillId="33" borderId="0" xfId="0" applyNumberFormat="1" applyFont="1" applyFill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197" fontId="0" fillId="33" borderId="0" xfId="59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3" fontId="0" fillId="33" borderId="0" xfId="59" applyNumberFormat="1" applyFont="1" applyFill="1" applyAlignment="1">
      <alignment/>
    </xf>
    <xf numFmtId="190" fontId="0" fillId="33" borderId="0" xfId="59" applyNumberFormat="1" applyFont="1" applyFill="1" applyAlignment="1">
      <alignment/>
    </xf>
    <xf numFmtId="3" fontId="6" fillId="33" borderId="0" xfId="0" applyNumberFormat="1" applyFont="1" applyFill="1" applyBorder="1" applyAlignment="1">
      <alignment horizontal="right"/>
    </xf>
    <xf numFmtId="190" fontId="6" fillId="33" borderId="0" xfId="0" applyNumberFormat="1" applyFont="1" applyFill="1" applyBorder="1" applyAlignment="1">
      <alignment horizontal="center"/>
    </xf>
    <xf numFmtId="190" fontId="0" fillId="33" borderId="0" xfId="0" applyNumberFormat="1" applyFont="1" applyFill="1" applyBorder="1" applyAlignment="1">
      <alignment horizontal="center"/>
    </xf>
    <xf numFmtId="190" fontId="0" fillId="33" borderId="0" xfId="0" applyNumberFormat="1" applyFont="1" applyFill="1" applyAlignment="1">
      <alignment/>
    </xf>
    <xf numFmtId="197" fontId="3" fillId="33" borderId="0" xfId="0" applyNumberFormat="1" applyFont="1" applyFill="1" applyAlignment="1">
      <alignment/>
    </xf>
    <xf numFmtId="193" fontId="3" fillId="33" borderId="0" xfId="0" applyNumberFormat="1" applyFont="1" applyFill="1" applyAlignment="1">
      <alignment/>
    </xf>
    <xf numFmtId="10" fontId="3" fillId="33" borderId="0" xfId="0" applyNumberFormat="1" applyFont="1" applyFill="1" applyAlignment="1">
      <alignment/>
    </xf>
    <xf numFmtId="9" fontId="3" fillId="33" borderId="0" xfId="0" applyNumberFormat="1" applyFont="1" applyFill="1" applyAlignment="1">
      <alignment/>
    </xf>
    <xf numFmtId="3" fontId="6" fillId="33" borderId="0" xfId="59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3" fontId="5" fillId="33" borderId="16" xfId="59" applyNumberFormat="1" applyFont="1" applyFill="1" applyBorder="1" applyAlignment="1">
      <alignment/>
    </xf>
    <xf numFmtId="199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3" fontId="5" fillId="33" borderId="16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0" fontId="0" fillId="33" borderId="15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center"/>
    </xf>
    <xf numFmtId="10" fontId="0" fillId="33" borderId="0" xfId="0" applyNumberFormat="1" applyFont="1" applyFill="1" applyAlignment="1">
      <alignment/>
    </xf>
    <xf numFmtId="0" fontId="5" fillId="33" borderId="15" xfId="0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5" fillId="33" borderId="0" xfId="0" applyNumberFormat="1" applyFont="1" applyFill="1" applyAlignment="1">
      <alignment horizontal="right"/>
    </xf>
    <xf numFmtId="10" fontId="5" fillId="33" borderId="0" xfId="59" applyNumberFormat="1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0" xfId="0" applyFont="1" applyFill="1" applyBorder="1" applyAlignment="1" quotePrefix="1">
      <alignment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5" fillId="33" borderId="11" xfId="0" applyFont="1" applyFill="1" applyBorder="1" applyAlignment="1" quotePrefix="1">
      <alignment horizontal="center"/>
    </xf>
    <xf numFmtId="4" fontId="0" fillId="33" borderId="0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3" fontId="0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91" fontId="0" fillId="33" borderId="0" xfId="0" applyNumberFormat="1" applyFont="1" applyFill="1" applyAlignment="1">
      <alignment/>
    </xf>
    <xf numFmtId="3" fontId="5" fillId="33" borderId="14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16" fontId="8" fillId="33" borderId="0" xfId="0" applyNumberFormat="1" applyFont="1" applyFill="1" applyAlignment="1" quotePrefix="1">
      <alignment horizontal="center"/>
    </xf>
    <xf numFmtId="16" fontId="0" fillId="33" borderId="0" xfId="0" applyNumberFormat="1" applyFont="1" applyFill="1" applyAlignment="1" quotePrefix="1">
      <alignment horizontal="center"/>
    </xf>
    <xf numFmtId="0" fontId="8" fillId="33" borderId="13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9" fontId="0" fillId="33" borderId="0" xfId="59" applyFont="1" applyFill="1" applyBorder="1" applyAlignment="1">
      <alignment/>
    </xf>
    <xf numFmtId="188" fontId="0" fillId="33" borderId="0" xfId="59" applyNumberFormat="1" applyFont="1" applyFill="1" applyBorder="1" applyAlignment="1">
      <alignment horizontal="center"/>
    </xf>
    <xf numFmtId="10" fontId="0" fillId="33" borderId="0" xfId="59" applyNumberFormat="1" applyFont="1" applyFill="1" applyBorder="1" applyAlignment="1">
      <alignment/>
    </xf>
    <xf numFmtId="10" fontId="0" fillId="33" borderId="0" xfId="59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8" fontId="5" fillId="33" borderId="0" xfId="0" applyNumberFormat="1" applyFont="1" applyFill="1" applyAlignment="1">
      <alignment horizontal="center"/>
    </xf>
    <xf numFmtId="10" fontId="3" fillId="33" borderId="0" xfId="0" applyNumberFormat="1" applyFont="1" applyFill="1" applyAlignment="1">
      <alignment horizontal="center"/>
    </xf>
    <xf numFmtId="10" fontId="0" fillId="33" borderId="0" xfId="0" applyNumberFormat="1" applyFont="1" applyFill="1" applyAlignment="1">
      <alignment horizontal="center"/>
    </xf>
    <xf numFmtId="10" fontId="3" fillId="33" borderId="11" xfId="0" applyNumberFormat="1" applyFont="1" applyFill="1" applyBorder="1" applyAlignment="1">
      <alignment horizontal="center"/>
    </xf>
    <xf numFmtId="10" fontId="0" fillId="33" borderId="11" xfId="0" applyNumberFormat="1" applyFont="1" applyFill="1" applyBorder="1" applyAlignment="1">
      <alignment horizontal="center"/>
    </xf>
    <xf numFmtId="4" fontId="0" fillId="33" borderId="11" xfId="59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3" fontId="0" fillId="33" borderId="19" xfId="59" applyNumberFormat="1" applyFont="1" applyFill="1" applyBorder="1" applyAlignment="1">
      <alignment horizontal="center"/>
    </xf>
    <xf numFmtId="3" fontId="0" fillId="33" borderId="20" xfId="59" applyNumberFormat="1" applyFont="1" applyFill="1" applyBorder="1" applyAlignment="1">
      <alignment horizontal="center"/>
    </xf>
    <xf numFmtId="3" fontId="0" fillId="33" borderId="19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0" fontId="0" fillId="33" borderId="24" xfId="59" applyNumberFormat="1" applyFont="1" applyFill="1" applyBorder="1" applyAlignment="1">
      <alignment/>
    </xf>
    <xf numFmtId="10" fontId="0" fillId="33" borderId="25" xfId="59" applyNumberFormat="1" applyFont="1" applyFill="1" applyBorder="1" applyAlignment="1">
      <alignment/>
    </xf>
    <xf numFmtId="1" fontId="5" fillId="33" borderId="26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35" borderId="19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3" fontId="3" fillId="35" borderId="19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0" fillId="35" borderId="19" xfId="59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0" fillId="35" borderId="27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3" fontId="3" fillId="35" borderId="27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0" fillId="35" borderId="27" xfId="59" applyNumberFormat="1" applyFont="1" applyFill="1" applyBorder="1" applyAlignment="1">
      <alignment/>
    </xf>
    <xf numFmtId="213" fontId="0" fillId="33" borderId="19" xfId="0" applyNumberFormat="1" applyFont="1" applyFill="1" applyBorder="1" applyAlignment="1">
      <alignment/>
    </xf>
    <xf numFmtId="10" fontId="0" fillId="33" borderId="19" xfId="59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36" borderId="33" xfId="0" applyFont="1" applyFill="1" applyBorder="1" applyAlignment="1">
      <alignment horizontal="left" vertical="top"/>
    </xf>
    <xf numFmtId="0" fontId="23" fillId="36" borderId="34" xfId="0" applyFont="1" applyFill="1" applyBorder="1" applyAlignment="1">
      <alignment horizontal="center" vertical="top"/>
    </xf>
    <xf numFmtId="4" fontId="23" fillId="36" borderId="34" xfId="0" applyNumberFormat="1" applyFont="1" applyFill="1" applyBorder="1" applyAlignment="1">
      <alignment horizontal="center" vertical="top"/>
    </xf>
    <xf numFmtId="4" fontId="23" fillId="36" borderId="35" xfId="0" applyNumberFormat="1" applyFont="1" applyFill="1" applyBorder="1" applyAlignment="1">
      <alignment horizontal="center" vertical="top"/>
    </xf>
    <xf numFmtId="0" fontId="23" fillId="0" borderId="36" xfId="0" applyFont="1" applyBorder="1" applyAlignment="1">
      <alignment horizontal="left" vertical="top"/>
    </xf>
    <xf numFmtId="0" fontId="23" fillId="0" borderId="37" xfId="0" applyFont="1" applyBorder="1" applyAlignment="1">
      <alignment vertical="top"/>
    </xf>
    <xf numFmtId="4" fontId="23" fillId="0" borderId="37" xfId="0" applyNumberFormat="1" applyFont="1" applyBorder="1" applyAlignment="1">
      <alignment vertical="top"/>
    </xf>
    <xf numFmtId="4" fontId="23" fillId="0" borderId="37" xfId="0" applyNumberFormat="1" applyFont="1" applyBorder="1" applyAlignment="1">
      <alignment horizontal="center" vertical="top"/>
    </xf>
    <xf numFmtId="4" fontId="23" fillId="0" borderId="38" xfId="0" applyNumberFormat="1" applyFont="1" applyBorder="1" applyAlignment="1">
      <alignment vertical="top"/>
    </xf>
    <xf numFmtId="0" fontId="22" fillId="0" borderId="39" xfId="0" applyFont="1" applyBorder="1" applyAlignment="1">
      <alignment horizontal="left" vertical="top"/>
    </xf>
    <xf numFmtId="0" fontId="22" fillId="0" borderId="40" xfId="0" applyFont="1" applyBorder="1" applyAlignment="1">
      <alignment vertical="top"/>
    </xf>
    <xf numFmtId="0" fontId="22" fillId="0" borderId="40" xfId="0" applyFont="1" applyBorder="1" applyAlignment="1">
      <alignment horizontal="center" vertical="top"/>
    </xf>
    <xf numFmtId="4" fontId="22" fillId="0" borderId="40" xfId="0" applyNumberFormat="1" applyFont="1" applyBorder="1" applyAlignment="1">
      <alignment horizontal="right" vertical="top"/>
    </xf>
    <xf numFmtId="3" fontId="22" fillId="0" borderId="40" xfId="0" applyNumberFormat="1" applyFont="1" applyBorder="1" applyAlignment="1">
      <alignment horizontal="center" vertical="top"/>
    </xf>
    <xf numFmtId="4" fontId="22" fillId="0" borderId="41" xfId="0" applyNumberFormat="1" applyFont="1" applyBorder="1" applyAlignment="1">
      <alignment horizontal="right" vertical="top"/>
    </xf>
    <xf numFmtId="0" fontId="22" fillId="0" borderId="42" xfId="0" applyFont="1" applyBorder="1" applyAlignment="1">
      <alignment horizontal="left" vertical="top"/>
    </xf>
    <xf numFmtId="0" fontId="22" fillId="0" borderId="43" xfId="0" applyFont="1" applyBorder="1" applyAlignment="1">
      <alignment vertical="top"/>
    </xf>
    <xf numFmtId="0" fontId="22" fillId="0" borderId="43" xfId="0" applyFont="1" applyBorder="1" applyAlignment="1">
      <alignment horizontal="center" vertical="top"/>
    </xf>
    <xf numFmtId="4" fontId="22" fillId="0" borderId="43" xfId="0" applyNumberFormat="1" applyFont="1" applyBorder="1" applyAlignment="1">
      <alignment horizontal="right" vertical="top"/>
    </xf>
    <xf numFmtId="0" fontId="22" fillId="0" borderId="44" xfId="0" applyFont="1" applyBorder="1" applyAlignment="1">
      <alignment horizontal="left" vertical="top"/>
    </xf>
    <xf numFmtId="0" fontId="22" fillId="0" borderId="45" xfId="0" applyFont="1" applyBorder="1" applyAlignment="1">
      <alignment vertical="top"/>
    </xf>
    <xf numFmtId="0" fontId="22" fillId="0" borderId="45" xfId="0" applyFont="1" applyBorder="1" applyAlignment="1">
      <alignment horizontal="center" vertical="top"/>
    </xf>
    <xf numFmtId="4" fontId="22" fillId="0" borderId="45" xfId="0" applyNumberFormat="1" applyFont="1" applyBorder="1" applyAlignment="1">
      <alignment horizontal="right" vertical="top"/>
    </xf>
    <xf numFmtId="0" fontId="22" fillId="36" borderId="36" xfId="0" applyFont="1" applyFill="1" applyBorder="1" applyAlignment="1">
      <alignment horizontal="left" vertical="top"/>
    </xf>
    <xf numFmtId="0" fontId="22" fillId="36" borderId="37" xfId="0" applyFont="1" applyFill="1" applyBorder="1" applyAlignment="1">
      <alignment vertical="top"/>
    </xf>
    <xf numFmtId="4" fontId="22" fillId="36" borderId="37" xfId="0" applyNumberFormat="1" applyFont="1" applyFill="1" applyBorder="1" applyAlignment="1">
      <alignment vertical="top"/>
    </xf>
    <xf numFmtId="3" fontId="22" fillId="36" borderId="46" xfId="0" applyNumberFormat="1" applyFont="1" applyFill="1" applyBorder="1" applyAlignment="1">
      <alignment horizontal="center" vertical="top"/>
    </xf>
    <xf numFmtId="4" fontId="23" fillId="36" borderId="41" xfId="0" applyNumberFormat="1" applyFont="1" applyFill="1" applyBorder="1" applyAlignment="1">
      <alignment horizontal="right" vertical="top"/>
    </xf>
    <xf numFmtId="0" fontId="23" fillId="0" borderId="47" xfId="0" applyFont="1" applyBorder="1" applyAlignment="1">
      <alignment horizontal="left" vertical="top"/>
    </xf>
    <xf numFmtId="0" fontId="23" fillId="0" borderId="48" xfId="0" applyFont="1" applyBorder="1" applyAlignment="1">
      <alignment vertical="top"/>
    </xf>
    <xf numFmtId="4" fontId="23" fillId="0" borderId="48" xfId="0" applyNumberFormat="1" applyFont="1" applyBorder="1" applyAlignment="1">
      <alignment vertical="top"/>
    </xf>
    <xf numFmtId="3" fontId="23" fillId="0" borderId="48" xfId="0" applyNumberFormat="1" applyFont="1" applyBorder="1" applyAlignment="1">
      <alignment horizontal="center" vertical="top"/>
    </xf>
    <xf numFmtId="4" fontId="23" fillId="0" borderId="49" xfId="0" applyNumberFormat="1" applyFont="1" applyBorder="1" applyAlignment="1">
      <alignment vertical="top"/>
    </xf>
    <xf numFmtId="4" fontId="22" fillId="0" borderId="40" xfId="0" applyNumberFormat="1" applyFont="1" applyBorder="1" applyAlignment="1">
      <alignment vertical="top"/>
    </xf>
    <xf numFmtId="4" fontId="22" fillId="0" borderId="43" xfId="0" applyNumberFormat="1" applyFont="1" applyBorder="1" applyAlignment="1">
      <alignment vertical="top"/>
    </xf>
    <xf numFmtId="4" fontId="22" fillId="0" borderId="45" xfId="0" applyNumberFormat="1" applyFont="1" applyBorder="1" applyAlignment="1">
      <alignment vertical="top"/>
    </xf>
    <xf numFmtId="4" fontId="22" fillId="36" borderId="46" xfId="0" applyNumberFormat="1" applyFont="1" applyFill="1" applyBorder="1" applyAlignment="1">
      <alignment horizontal="center" vertical="top"/>
    </xf>
    <xf numFmtId="0" fontId="24" fillId="36" borderId="50" xfId="0" applyFont="1" applyFill="1" applyBorder="1" applyAlignment="1">
      <alignment horizontal="left" vertical="top"/>
    </xf>
    <xf numFmtId="0" fontId="24" fillId="36" borderId="51" xfId="0" applyFont="1" applyFill="1" applyBorder="1" applyAlignment="1">
      <alignment vertical="top"/>
    </xf>
    <xf numFmtId="4" fontId="24" fillId="36" borderId="51" xfId="0" applyNumberFormat="1" applyFont="1" applyFill="1" applyBorder="1" applyAlignment="1">
      <alignment vertical="top"/>
    </xf>
    <xf numFmtId="4" fontId="24" fillId="36" borderId="52" xfId="0" applyNumberFormat="1" applyFont="1" applyFill="1" applyBorder="1" applyAlignment="1">
      <alignment horizontal="center" vertical="top"/>
    </xf>
    <xf numFmtId="4" fontId="23" fillId="36" borderId="53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35" borderId="13" xfId="0" applyNumberFormat="1" applyFont="1" applyFill="1" applyBorder="1" applyAlignment="1">
      <alignment horizontal="center"/>
    </xf>
    <xf numFmtId="0" fontId="0" fillId="33" borderId="5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3" fontId="0" fillId="33" borderId="31" xfId="0" applyNumberFormat="1" applyFont="1" applyFill="1" applyBorder="1" applyAlignment="1">
      <alignment/>
    </xf>
    <xf numFmtId="0" fontId="3" fillId="34" borderId="55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2" fontId="0" fillId="33" borderId="27" xfId="0" applyNumberFormat="1" applyFont="1" applyFill="1" applyBorder="1" applyAlignment="1">
      <alignment/>
    </xf>
    <xf numFmtId="0" fontId="0" fillId="33" borderId="55" xfId="0" applyFont="1" applyFill="1" applyBorder="1" applyAlignment="1">
      <alignment horizontal="center"/>
    </xf>
    <xf numFmtId="10" fontId="0" fillId="35" borderId="19" xfId="0" applyNumberFormat="1" applyFont="1" applyFill="1" applyBorder="1" applyAlignment="1">
      <alignment horizontal="center"/>
    </xf>
    <xf numFmtId="192" fontId="0" fillId="33" borderId="19" xfId="59" applyNumberFormat="1" applyFont="1" applyFill="1" applyBorder="1" applyAlignment="1">
      <alignment horizontal="center"/>
    </xf>
    <xf numFmtId="10" fontId="0" fillId="33" borderId="19" xfId="59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10" fontId="0" fillId="33" borderId="57" xfId="0" applyNumberFormat="1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10" fontId="0" fillId="34" borderId="26" xfId="0" applyNumberFormat="1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10" fontId="0" fillId="33" borderId="24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3" fillId="34" borderId="59" xfId="0" applyFont="1" applyFill="1" applyBorder="1" applyAlignment="1">
      <alignment/>
    </xf>
    <xf numFmtId="10" fontId="0" fillId="34" borderId="60" xfId="0" applyNumberFormat="1" applyFont="1" applyFill="1" applyBorder="1" applyAlignment="1">
      <alignment horizontal="center"/>
    </xf>
    <xf numFmtId="0" fontId="3" fillId="34" borderId="60" xfId="0" applyFont="1" applyFill="1" applyBorder="1" applyAlignment="1">
      <alignment horizontal="center"/>
    </xf>
    <xf numFmtId="0" fontId="0" fillId="33" borderId="60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0" fillId="33" borderId="62" xfId="0" applyFont="1" applyFill="1" applyBorder="1" applyAlignment="1">
      <alignment horizontal="center"/>
    </xf>
    <xf numFmtId="10" fontId="0" fillId="35" borderId="28" xfId="0" applyNumberFormat="1" applyFont="1" applyFill="1" applyBorder="1" applyAlignment="1">
      <alignment horizontal="center"/>
    </xf>
    <xf numFmtId="3" fontId="0" fillId="33" borderId="28" xfId="0" applyNumberFormat="1" applyFont="1" applyFill="1" applyBorder="1" applyAlignment="1">
      <alignment horizontal="center"/>
    </xf>
    <xf numFmtId="192" fontId="0" fillId="33" borderId="28" xfId="59" applyNumberFormat="1" applyFont="1" applyFill="1" applyBorder="1" applyAlignment="1">
      <alignment horizontal="center"/>
    </xf>
    <xf numFmtId="10" fontId="0" fillId="33" borderId="28" xfId="59" applyNumberFormat="1" applyFon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10" fontId="0" fillId="35" borderId="13" xfId="0" applyNumberFormat="1" applyFont="1" applyFill="1" applyBorder="1" applyAlignment="1">
      <alignment horizontal="center"/>
    </xf>
    <xf numFmtId="3" fontId="0" fillId="33" borderId="32" xfId="0" applyNumberFormat="1" applyFont="1" applyFill="1" applyBorder="1" applyAlignment="1">
      <alignment/>
    </xf>
    <xf numFmtId="0" fontId="0" fillId="33" borderId="25" xfId="0" applyFont="1" applyFill="1" applyBorder="1" applyAlignment="1">
      <alignment/>
    </xf>
    <xf numFmtId="196" fontId="0" fillId="33" borderId="19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10" fontId="25" fillId="33" borderId="0" xfId="59" applyNumberFormat="1" applyFont="1" applyFill="1" applyAlignment="1">
      <alignment horizontal="center"/>
    </xf>
    <xf numFmtId="4" fontId="5" fillId="33" borderId="0" xfId="0" applyNumberFormat="1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9" fontId="3" fillId="33" borderId="0" xfId="59" applyFont="1" applyFill="1" applyAlignment="1">
      <alignment/>
    </xf>
    <xf numFmtId="0" fontId="3" fillId="33" borderId="0" xfId="0" applyFont="1" applyFill="1" applyAlignment="1">
      <alignment horizontal="left"/>
    </xf>
    <xf numFmtId="9" fontId="6" fillId="33" borderId="0" xfId="59" applyFont="1" applyFill="1" applyAlignment="1">
      <alignment/>
    </xf>
    <xf numFmtId="0" fontId="0" fillId="33" borderId="0" xfId="0" applyFont="1" applyFill="1" applyAlignment="1">
      <alignment horizontal="left"/>
    </xf>
    <xf numFmtId="9" fontId="7" fillId="33" borderId="0" xfId="59" applyFont="1" applyFill="1" applyAlignment="1">
      <alignment/>
    </xf>
    <xf numFmtId="213" fontId="3" fillId="35" borderId="0" xfId="42" applyNumberFormat="1" applyFont="1" applyFill="1" applyAlignment="1">
      <alignment horizontal="right"/>
    </xf>
    <xf numFmtId="0" fontId="7" fillId="35" borderId="0" xfId="0" applyFont="1" applyFill="1" applyAlignment="1">
      <alignment horizontal="right"/>
    </xf>
    <xf numFmtId="9" fontId="5" fillId="33" borderId="11" xfId="59" applyFont="1" applyFill="1" applyBorder="1" applyAlignment="1">
      <alignment/>
    </xf>
    <xf numFmtId="188" fontId="5" fillId="33" borderId="0" xfId="0" applyNumberFormat="1" applyFont="1" applyFill="1" applyAlignment="1">
      <alignment/>
    </xf>
    <xf numFmtId="188" fontId="0" fillId="33" borderId="0" xfId="0" applyNumberFormat="1" applyFont="1" applyFill="1" applyAlignment="1">
      <alignment/>
    </xf>
    <xf numFmtId="10" fontId="5" fillId="33" borderId="11" xfId="0" applyNumberFormat="1" applyFont="1" applyFill="1" applyBorder="1" applyAlignment="1">
      <alignment/>
    </xf>
    <xf numFmtId="188" fontId="5" fillId="33" borderId="11" xfId="0" applyNumberFormat="1" applyFont="1" applyFill="1" applyBorder="1" applyAlignment="1">
      <alignment/>
    </xf>
    <xf numFmtId="10" fontId="5" fillId="33" borderId="0" xfId="0" applyNumberFormat="1" applyFont="1" applyFill="1" applyBorder="1" applyAlignment="1">
      <alignment/>
    </xf>
    <xf numFmtId="188" fontId="5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0" xfId="0" applyFont="1" applyAlignment="1">
      <alignment/>
    </xf>
    <xf numFmtId="188" fontId="0" fillId="33" borderId="11" xfId="0" applyNumberFormat="1" applyFont="1" applyFill="1" applyBorder="1" applyAlignment="1">
      <alignment/>
    </xf>
    <xf numFmtId="188" fontId="0" fillId="33" borderId="0" xfId="0" applyNumberFormat="1" applyFont="1" applyFill="1" applyBorder="1" applyAlignment="1">
      <alignment/>
    </xf>
    <xf numFmtId="179" fontId="0" fillId="35" borderId="0" xfId="42" applyFont="1" applyFill="1" applyAlignment="1">
      <alignment/>
    </xf>
    <xf numFmtId="179" fontId="0" fillId="33" borderId="0" xfId="42" applyFont="1" applyFill="1" applyAlignment="1">
      <alignment/>
    </xf>
    <xf numFmtId="0" fontId="6" fillId="33" borderId="11" xfId="0" applyFont="1" applyFill="1" applyBorder="1" applyAlignment="1">
      <alignment/>
    </xf>
    <xf numFmtId="188" fontId="6" fillId="33" borderId="11" xfId="59" applyNumberFormat="1" applyFont="1" applyFill="1" applyBorder="1" applyAlignment="1">
      <alignment/>
    </xf>
    <xf numFmtId="0" fontId="0" fillId="33" borderId="11" xfId="59" applyNumberFormat="1" applyFont="1" applyFill="1" applyBorder="1" applyAlignment="1">
      <alignment/>
    </xf>
    <xf numFmtId="188" fontId="6" fillId="33" borderId="11" xfId="0" applyNumberFormat="1" applyFont="1" applyFill="1" applyBorder="1" applyAlignment="1">
      <alignment/>
    </xf>
    <xf numFmtId="3" fontId="5" fillId="33" borderId="0" xfId="59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213" fontId="5" fillId="33" borderId="0" xfId="42" applyNumberFormat="1" applyFont="1" applyFill="1" applyAlignment="1">
      <alignment horizontal="right"/>
    </xf>
    <xf numFmtId="213" fontId="0" fillId="35" borderId="0" xfId="42" applyNumberFormat="1" applyFont="1" applyFill="1" applyAlignment="1">
      <alignment horizontal="right"/>
    </xf>
    <xf numFmtId="213" fontId="0" fillId="33" borderId="0" xfId="42" applyNumberFormat="1" applyFont="1" applyFill="1" applyAlignment="1">
      <alignment horizontal="right"/>
    </xf>
    <xf numFmtId="213" fontId="6" fillId="33" borderId="0" xfId="42" applyNumberFormat="1" applyFont="1" applyFill="1" applyAlignment="1">
      <alignment horizontal="right"/>
    </xf>
    <xf numFmtId="213" fontId="7" fillId="35" borderId="0" xfId="42" applyNumberFormat="1" applyFont="1" applyFill="1" applyAlignment="1">
      <alignment horizontal="right"/>
    </xf>
    <xf numFmtId="3" fontId="7" fillId="35" borderId="0" xfId="0" applyNumberFormat="1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5" fillId="35" borderId="0" xfId="0" applyFont="1" applyFill="1" applyAlignment="1">
      <alignment horizontal="right"/>
    </xf>
    <xf numFmtId="213" fontId="5" fillId="35" borderId="0" xfId="42" applyNumberFormat="1" applyFont="1" applyFill="1" applyAlignment="1">
      <alignment horizontal="right"/>
    </xf>
    <xf numFmtId="10" fontId="5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/>
      <protection hidden="1"/>
    </xf>
    <xf numFmtId="0" fontId="32" fillId="0" borderId="65" xfId="0" applyFont="1" applyBorder="1" applyAlignment="1" applyProtection="1">
      <alignment horizontal="center"/>
      <protection hidden="1"/>
    </xf>
    <xf numFmtId="0" fontId="32" fillId="0" borderId="66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wrapText="1"/>
      <protection hidden="1"/>
    </xf>
    <xf numFmtId="49" fontId="30" fillId="0" borderId="0" xfId="0" applyNumberFormat="1" applyFont="1" applyBorder="1" applyAlignment="1" applyProtection="1">
      <alignment horizontal="center"/>
      <protection hidden="1"/>
    </xf>
    <xf numFmtId="49" fontId="0" fillId="0" borderId="63" xfId="42" applyNumberFormat="1" applyFont="1" applyBorder="1" applyAlignment="1" applyProtection="1">
      <alignment horizontal="center"/>
      <protection hidden="1"/>
    </xf>
    <xf numFmtId="49" fontId="32" fillId="0" borderId="14" xfId="0" applyNumberFormat="1" applyFont="1" applyBorder="1" applyAlignment="1" applyProtection="1">
      <alignment horizontal="center"/>
      <protection hidden="1"/>
    </xf>
    <xf numFmtId="49" fontId="0" fillId="0" borderId="63" xfId="0" applyNumberFormat="1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left"/>
      <protection hidden="1"/>
    </xf>
    <xf numFmtId="49" fontId="32" fillId="0" borderId="0" xfId="0" applyNumberFormat="1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horizontal="left"/>
      <protection hidden="1"/>
    </xf>
    <xf numFmtId="49" fontId="30" fillId="0" borderId="14" xfId="0" applyNumberFormat="1" applyFont="1" applyBorder="1" applyAlignment="1" applyProtection="1">
      <alignment horizontal="center"/>
      <protection hidden="1"/>
    </xf>
    <xf numFmtId="49" fontId="0" fillId="0" borderId="67" xfId="0" applyNumberFormat="1" applyFont="1" applyBorder="1" applyAlignment="1" applyProtection="1">
      <alignment horizontal="center"/>
      <protection hidden="1"/>
    </xf>
    <xf numFmtId="49" fontId="30" fillId="0" borderId="68" xfId="0" applyNumberFormat="1" applyFont="1" applyBorder="1" applyAlignment="1" applyProtection="1">
      <alignment horizontal="center"/>
      <protection hidden="1"/>
    </xf>
    <xf numFmtId="49" fontId="32" fillId="0" borderId="66" xfId="0" applyNumberFormat="1" applyFont="1" applyBorder="1" applyAlignment="1" applyProtection="1">
      <alignment horizontal="center"/>
      <protection hidden="1"/>
    </xf>
    <xf numFmtId="49" fontId="30" fillId="0" borderId="66" xfId="0" applyNumberFormat="1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wrapText="1"/>
      <protection hidden="1"/>
    </xf>
    <xf numFmtId="0" fontId="0" fillId="37" borderId="69" xfId="0" applyFont="1" applyFill="1" applyBorder="1" applyAlignment="1">
      <alignment/>
    </xf>
    <xf numFmtId="4" fontId="0" fillId="37" borderId="69" xfId="0" applyNumberFormat="1" applyFont="1" applyFill="1" applyBorder="1" applyAlignment="1">
      <alignment/>
    </xf>
    <xf numFmtId="0" fontId="0" fillId="37" borderId="69" xfId="0" applyFill="1" applyBorder="1" applyAlignment="1" applyProtection="1">
      <alignment/>
      <protection locked="0"/>
    </xf>
    <xf numFmtId="4" fontId="0" fillId="37" borderId="69" xfId="0" applyNumberFormat="1" applyFill="1" applyBorder="1" applyAlignment="1" applyProtection="1">
      <alignment/>
      <protection locked="0"/>
    </xf>
    <xf numFmtId="0" fontId="0" fillId="37" borderId="69" xfId="0" applyFill="1" applyBorder="1" applyAlignment="1" applyProtection="1">
      <alignment/>
      <protection hidden="1"/>
    </xf>
    <xf numFmtId="4" fontId="0" fillId="37" borderId="69" xfId="0" applyNumberFormat="1" applyFill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 locked="0"/>
    </xf>
    <xf numFmtId="0" fontId="29" fillId="0" borderId="0" xfId="0" applyFont="1" applyAlignment="1" applyProtection="1">
      <alignment horizontal="left"/>
      <protection hidden="1" locked="0"/>
    </xf>
    <xf numFmtId="3" fontId="3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9" fillId="37" borderId="0" xfId="0" applyFont="1" applyFill="1" applyAlignment="1" applyProtection="1">
      <alignment horizontal="left"/>
      <protection hidden="1" locked="0"/>
    </xf>
    <xf numFmtId="0" fontId="29" fillId="0" borderId="0" xfId="0" applyFont="1" applyAlignment="1" applyProtection="1">
      <alignment/>
      <protection hidden="1"/>
    </xf>
    <xf numFmtId="0" fontId="5" fillId="0" borderId="63" xfId="0" applyFont="1" applyBorder="1" applyAlignment="1" applyProtection="1">
      <alignment vertical="center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/>
      <protection hidden="1"/>
    </xf>
    <xf numFmtId="0" fontId="0" fillId="0" borderId="64" xfId="0" applyFont="1" applyBorder="1" applyAlignment="1" applyProtection="1">
      <alignment/>
      <protection hidden="1"/>
    </xf>
    <xf numFmtId="0" fontId="0" fillId="0" borderId="7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49" fontId="30" fillId="0" borderId="0" xfId="0" applyNumberFormat="1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0" fillId="0" borderId="71" xfId="0" applyFont="1" applyBorder="1" applyAlignment="1" applyProtection="1">
      <alignment/>
      <protection hidden="1"/>
    </xf>
    <xf numFmtId="0" fontId="30" fillId="0" borderId="72" xfId="0" applyFont="1" applyBorder="1" applyAlignment="1" applyProtection="1">
      <alignment/>
      <protection hidden="1"/>
    </xf>
    <xf numFmtId="0" fontId="32" fillId="0" borderId="66" xfId="0" applyFont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27" fillId="0" borderId="63" xfId="0" applyFont="1" applyBorder="1" applyAlignment="1" applyProtection="1">
      <alignment/>
      <protection hidden="1"/>
    </xf>
    <xf numFmtId="0" fontId="32" fillId="0" borderId="73" xfId="0" applyFont="1" applyBorder="1" applyAlignment="1" applyProtection="1">
      <alignment horizontal="center"/>
      <protection hidden="1"/>
    </xf>
    <xf numFmtId="0" fontId="23" fillId="0" borderId="64" xfId="0" applyFont="1" applyBorder="1" applyAlignment="1" applyProtection="1">
      <alignment/>
      <protection hidden="1"/>
    </xf>
    <xf numFmtId="0" fontId="27" fillId="0" borderId="63" xfId="0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3" fontId="27" fillId="0" borderId="63" xfId="0" applyNumberFormat="1" applyFont="1" applyBorder="1" applyAlignment="1" applyProtection="1">
      <alignment horizontal="center"/>
      <protection hidden="1"/>
    </xf>
    <xf numFmtId="0" fontId="27" fillId="0" borderId="64" xfId="0" applyFont="1" applyBorder="1" applyAlignment="1" applyProtection="1">
      <alignment wrapText="1"/>
      <protection hidden="1"/>
    </xf>
    <xf numFmtId="0" fontId="22" fillId="0" borderId="64" xfId="0" applyFont="1" applyBorder="1" applyAlignment="1" applyProtection="1">
      <alignment/>
      <protection hidden="1"/>
    </xf>
    <xf numFmtId="0" fontId="27" fillId="0" borderId="74" xfId="0" applyFont="1" applyBorder="1" applyAlignment="1" applyProtection="1">
      <alignment horizontal="center"/>
      <protection hidden="1"/>
    </xf>
    <xf numFmtId="0" fontId="0" fillId="0" borderId="66" xfId="0" applyFont="1" applyBorder="1" applyAlignment="1" applyProtection="1">
      <alignment/>
      <protection hidden="1"/>
    </xf>
    <xf numFmtId="0" fontId="27" fillId="0" borderId="67" xfId="0" applyFont="1" applyBorder="1" applyAlignment="1" applyProtection="1">
      <alignment horizontal="center"/>
      <protection hidden="1"/>
    </xf>
    <xf numFmtId="0" fontId="0" fillId="0" borderId="66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0" fillId="0" borderId="19" xfId="59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0" fillId="38" borderId="19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3" fontId="5" fillId="39" borderId="0" xfId="0" applyNumberFormat="1" applyFont="1" applyFill="1" applyBorder="1" applyAlignment="1">
      <alignment/>
    </xf>
    <xf numFmtId="3" fontId="5" fillId="33" borderId="64" xfId="0" applyNumberFormat="1" applyFont="1" applyFill="1" applyBorder="1" applyAlignment="1">
      <alignment horizontal="center"/>
    </xf>
    <xf numFmtId="3" fontId="5" fillId="33" borderId="64" xfId="0" applyNumberFormat="1" applyFont="1" applyFill="1" applyBorder="1" applyAlignment="1">
      <alignment/>
    </xf>
    <xf numFmtId="0" fontId="0" fillId="33" borderId="64" xfId="0" applyFont="1" applyFill="1" applyBorder="1" applyAlignment="1">
      <alignment/>
    </xf>
    <xf numFmtId="0" fontId="5" fillId="33" borderId="64" xfId="0" applyFont="1" applyFill="1" applyBorder="1" applyAlignment="1">
      <alignment/>
    </xf>
    <xf numFmtId="188" fontId="5" fillId="33" borderId="64" xfId="59" applyNumberFormat="1" applyFont="1" applyFill="1" applyBorder="1" applyAlignment="1">
      <alignment/>
    </xf>
    <xf numFmtId="9" fontId="5" fillId="33" borderId="64" xfId="59" applyFont="1" applyFill="1" applyBorder="1" applyAlignment="1">
      <alignment/>
    </xf>
    <xf numFmtId="188" fontId="0" fillId="33" borderId="64" xfId="59" applyNumberFormat="1" applyFont="1" applyFill="1" applyBorder="1" applyAlignment="1">
      <alignment/>
    </xf>
    <xf numFmtId="9" fontId="0" fillId="33" borderId="64" xfId="59" applyFont="1" applyFill="1" applyBorder="1" applyAlignment="1">
      <alignment/>
    </xf>
    <xf numFmtId="3" fontId="0" fillId="33" borderId="64" xfId="0" applyNumberFormat="1" applyFont="1" applyFill="1" applyBorder="1" applyAlignment="1">
      <alignment/>
    </xf>
    <xf numFmtId="0" fontId="3" fillId="33" borderId="64" xfId="0" applyFont="1" applyFill="1" applyBorder="1" applyAlignment="1">
      <alignment/>
    </xf>
    <xf numFmtId="188" fontId="3" fillId="33" borderId="64" xfId="59" applyNumberFormat="1" applyFont="1" applyFill="1" applyBorder="1" applyAlignment="1">
      <alignment/>
    </xf>
    <xf numFmtId="9" fontId="3" fillId="33" borderId="64" xfId="59" applyFont="1" applyFill="1" applyBorder="1" applyAlignment="1">
      <alignment/>
    </xf>
    <xf numFmtId="0" fontId="3" fillId="33" borderId="64" xfId="0" applyFont="1" applyFill="1" applyBorder="1" applyAlignment="1">
      <alignment horizontal="left"/>
    </xf>
    <xf numFmtId="3" fontId="3" fillId="33" borderId="64" xfId="0" applyNumberFormat="1" applyFont="1" applyFill="1" applyBorder="1" applyAlignment="1">
      <alignment/>
    </xf>
    <xf numFmtId="188" fontId="6" fillId="33" borderId="64" xfId="59" applyNumberFormat="1" applyFont="1" applyFill="1" applyBorder="1" applyAlignment="1">
      <alignment/>
    </xf>
    <xf numFmtId="9" fontId="6" fillId="33" borderId="64" xfId="59" applyFont="1" applyFill="1" applyBorder="1" applyAlignment="1">
      <alignment/>
    </xf>
    <xf numFmtId="0" fontId="0" fillId="33" borderId="64" xfId="0" applyFont="1" applyFill="1" applyBorder="1" applyAlignment="1">
      <alignment horizontal="left"/>
    </xf>
    <xf numFmtId="188" fontId="7" fillId="33" borderId="64" xfId="59" applyNumberFormat="1" applyFont="1" applyFill="1" applyBorder="1" applyAlignment="1">
      <alignment/>
    </xf>
    <xf numFmtId="9" fontId="7" fillId="33" borderId="64" xfId="59" applyFont="1" applyFill="1" applyBorder="1" applyAlignment="1">
      <alignment/>
    </xf>
    <xf numFmtId="9" fontId="8" fillId="33" borderId="64" xfId="59" applyFont="1" applyFill="1" applyBorder="1" applyAlignment="1">
      <alignment/>
    </xf>
    <xf numFmtId="3" fontId="0" fillId="33" borderId="64" xfId="59" applyNumberFormat="1" applyFont="1" applyFill="1" applyBorder="1" applyAlignment="1">
      <alignment/>
    </xf>
    <xf numFmtId="188" fontId="5" fillId="33" borderId="64" xfId="0" applyNumberFormat="1" applyFont="1" applyFill="1" applyBorder="1" applyAlignment="1">
      <alignment/>
    </xf>
    <xf numFmtId="188" fontId="0" fillId="33" borderId="64" xfId="0" applyNumberFormat="1" applyFont="1" applyFill="1" applyBorder="1" applyAlignment="1">
      <alignment/>
    </xf>
    <xf numFmtId="10" fontId="5" fillId="33" borderId="64" xfId="0" applyNumberFormat="1" applyFont="1" applyFill="1" applyBorder="1" applyAlignment="1">
      <alignment/>
    </xf>
    <xf numFmtId="1" fontId="5" fillId="33" borderId="13" xfId="0" applyNumberFormat="1" applyFont="1" applyFill="1" applyBorder="1" applyAlignment="1">
      <alignment horizontal="center"/>
    </xf>
    <xf numFmtId="0" fontId="0" fillId="0" borderId="71" xfId="0" applyFont="1" applyBorder="1" applyAlignment="1" applyProtection="1">
      <alignment/>
      <protection hidden="1"/>
    </xf>
    <xf numFmtId="0" fontId="0" fillId="0" borderId="72" xfId="0" applyFont="1" applyBorder="1" applyAlignment="1" applyProtection="1">
      <alignment/>
      <protection hidden="1"/>
    </xf>
    <xf numFmtId="0" fontId="0" fillId="0" borderId="75" xfId="0" applyFont="1" applyBorder="1" applyAlignment="1" applyProtection="1">
      <alignment/>
      <protection hidden="1"/>
    </xf>
    <xf numFmtId="0" fontId="0" fillId="0" borderId="63" xfId="0" applyFont="1" applyBorder="1" applyAlignment="1" applyProtection="1">
      <alignment/>
      <protection hidden="1"/>
    </xf>
    <xf numFmtId="0" fontId="0" fillId="40" borderId="64" xfId="0" applyFont="1" applyFill="1" applyBorder="1" applyAlignment="1" applyProtection="1">
      <alignment/>
      <protection hidden="1"/>
    </xf>
    <xf numFmtId="0" fontId="0" fillId="0" borderId="66" xfId="0" applyFont="1" applyBorder="1" applyAlignment="1" applyProtection="1">
      <alignment/>
      <protection hidden="1"/>
    </xf>
    <xf numFmtId="0" fontId="5" fillId="41" borderId="64" xfId="0" applyFont="1" applyFill="1" applyBorder="1" applyAlignment="1" applyProtection="1">
      <alignment/>
      <protection hidden="1"/>
    </xf>
    <xf numFmtId="0" fontId="0" fillId="41" borderId="64" xfId="0" applyFont="1" applyFill="1" applyBorder="1" applyAlignment="1" applyProtection="1">
      <alignment/>
      <protection hidden="1"/>
    </xf>
    <xf numFmtId="0" fontId="5" fillId="41" borderId="72" xfId="0" applyFont="1" applyFill="1" applyBorder="1" applyAlignment="1" applyProtection="1">
      <alignment/>
      <protection hidden="1"/>
    </xf>
    <xf numFmtId="0" fontId="5" fillId="0" borderId="64" xfId="0" applyFont="1" applyBorder="1" applyAlignment="1" applyProtection="1">
      <alignment/>
      <protection hidden="1"/>
    </xf>
    <xf numFmtId="0" fontId="0" fillId="0" borderId="64" xfId="0" applyFont="1" applyBorder="1" applyAlignment="1" applyProtection="1">
      <alignment/>
      <protection hidden="1"/>
    </xf>
    <xf numFmtId="0" fontId="0" fillId="42" borderId="66" xfId="0" applyFont="1" applyFill="1" applyBorder="1" applyAlignment="1" applyProtection="1">
      <alignment/>
      <protection hidden="1"/>
    </xf>
    <xf numFmtId="0" fontId="0" fillId="0" borderId="67" xfId="0" applyFont="1" applyBorder="1" applyAlignment="1" applyProtection="1">
      <alignment/>
      <protection hidden="1"/>
    </xf>
    <xf numFmtId="49" fontId="0" fillId="0" borderId="63" xfId="0" applyNumberFormat="1" applyFont="1" applyBorder="1" applyAlignment="1" applyProtection="1">
      <alignment horizontal="right"/>
      <protection hidden="1"/>
    </xf>
    <xf numFmtId="0" fontId="5" fillId="42" borderId="64" xfId="0" applyFont="1" applyFill="1" applyBorder="1" applyAlignment="1" applyProtection="1">
      <alignment/>
      <protection hidden="1"/>
    </xf>
    <xf numFmtId="0" fontId="5" fillId="42" borderId="66" xfId="0" applyFont="1" applyFill="1" applyBorder="1" applyAlignment="1" applyProtection="1">
      <alignment/>
      <protection hidden="1"/>
    </xf>
    <xf numFmtId="0" fontId="0" fillId="0" borderId="64" xfId="0" applyFont="1" applyBorder="1" applyAlignment="1" applyProtection="1">
      <alignment/>
      <protection locked="0"/>
    </xf>
    <xf numFmtId="0" fontId="0" fillId="33" borderId="66" xfId="0" applyFont="1" applyFill="1" applyBorder="1" applyAlignment="1" applyProtection="1">
      <alignment/>
      <protection hidden="1"/>
    </xf>
    <xf numFmtId="0" fontId="0" fillId="0" borderId="66" xfId="0" applyBorder="1" applyAlignment="1" applyProtection="1">
      <alignment/>
      <protection hidden="1"/>
    </xf>
    <xf numFmtId="4" fontId="0" fillId="40" borderId="64" xfId="0" applyNumberFormat="1" applyFont="1" applyFill="1" applyBorder="1" applyAlignment="1" applyProtection="1">
      <alignment/>
      <protection hidden="1"/>
    </xf>
    <xf numFmtId="0" fontId="5" fillId="0" borderId="70" xfId="0" applyFont="1" applyBorder="1" applyAlignment="1" applyProtection="1">
      <alignment/>
      <protection hidden="1"/>
    </xf>
    <xf numFmtId="0" fontId="5" fillId="42" borderId="76" xfId="0" applyFont="1" applyFill="1" applyBorder="1" applyAlignment="1" applyProtection="1">
      <alignment/>
      <protection hidden="1"/>
    </xf>
    <xf numFmtId="4" fontId="0" fillId="35" borderId="18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8" fillId="33" borderId="18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2" fontId="5" fillId="42" borderId="66" xfId="0" applyNumberFormat="1" applyFont="1" applyFill="1" applyBorder="1" applyAlignment="1" applyProtection="1">
      <alignment/>
      <protection hidden="1"/>
    </xf>
    <xf numFmtId="0" fontId="5" fillId="33" borderId="64" xfId="0" applyFont="1" applyFill="1" applyBorder="1" applyAlignment="1">
      <alignment horizontal="center"/>
    </xf>
    <xf numFmtId="0" fontId="0" fillId="33" borderId="64" xfId="0" applyFont="1" applyFill="1" applyBorder="1" applyAlignment="1" quotePrefix="1">
      <alignment/>
    </xf>
    <xf numFmtId="0" fontId="5" fillId="33" borderId="64" xfId="0" applyFont="1" applyFill="1" applyBorder="1" applyAlignment="1" quotePrefix="1">
      <alignment/>
    </xf>
    <xf numFmtId="4" fontId="0" fillId="33" borderId="64" xfId="0" applyNumberFormat="1" applyFont="1" applyFill="1" applyBorder="1" applyAlignment="1">
      <alignment/>
    </xf>
    <xf numFmtId="0" fontId="0" fillId="43" borderId="64" xfId="0" applyFont="1" applyFill="1" applyBorder="1" applyAlignment="1">
      <alignment/>
    </xf>
    <xf numFmtId="0" fontId="3" fillId="43" borderId="64" xfId="0" applyFont="1" applyFill="1" applyBorder="1" applyAlignment="1">
      <alignment horizontal="center"/>
    </xf>
    <xf numFmtId="0" fontId="4" fillId="43" borderId="64" xfId="0" applyFont="1" applyFill="1" applyBorder="1" applyAlignment="1">
      <alignment horizontal="center"/>
    </xf>
    <xf numFmtId="0" fontId="0" fillId="43" borderId="0" xfId="0" applyFont="1" applyFill="1" applyAlignment="1">
      <alignment/>
    </xf>
    <xf numFmtId="3" fontId="0" fillId="43" borderId="64" xfId="0" applyNumberFormat="1" applyFont="1" applyFill="1" applyBorder="1" applyAlignment="1">
      <alignment/>
    </xf>
    <xf numFmtId="3" fontId="3" fillId="43" borderId="64" xfId="0" applyNumberFormat="1" applyFont="1" applyFill="1" applyBorder="1" applyAlignment="1">
      <alignment/>
    </xf>
    <xf numFmtId="211" fontId="3" fillId="43" borderId="64" xfId="0" applyNumberFormat="1" applyFont="1" applyFill="1" applyBorder="1" applyAlignment="1">
      <alignment horizontal="right"/>
    </xf>
    <xf numFmtId="211" fontId="3" fillId="43" borderId="64" xfId="59" applyNumberFormat="1" applyFont="1" applyFill="1" applyBorder="1" applyAlignment="1">
      <alignment horizontal="center"/>
    </xf>
    <xf numFmtId="10" fontId="3" fillId="43" borderId="64" xfId="0" applyNumberFormat="1" applyFont="1" applyFill="1" applyBorder="1" applyAlignment="1">
      <alignment horizontal="right"/>
    </xf>
    <xf numFmtId="213" fontId="3" fillId="43" borderId="64" xfId="42" applyNumberFormat="1" applyFont="1" applyFill="1" applyBorder="1" applyAlignment="1">
      <alignment horizontal="center"/>
    </xf>
    <xf numFmtId="188" fontId="3" fillId="43" borderId="64" xfId="59" applyNumberFormat="1" applyFont="1" applyFill="1" applyBorder="1" applyAlignment="1">
      <alignment horizontal="center"/>
    </xf>
    <xf numFmtId="10" fontId="0" fillId="43" borderId="64" xfId="0" applyNumberFormat="1" applyFont="1" applyFill="1" applyBorder="1" applyAlignment="1">
      <alignment horizontal="center"/>
    </xf>
    <xf numFmtId="188" fontId="0" fillId="43" borderId="64" xfId="59" applyNumberFormat="1" applyFont="1" applyFill="1" applyBorder="1" applyAlignment="1">
      <alignment horizontal="center"/>
    </xf>
    <xf numFmtId="3" fontId="3" fillId="43" borderId="0" xfId="0" applyNumberFormat="1" applyFont="1" applyFill="1" applyAlignment="1">
      <alignment/>
    </xf>
    <xf numFmtId="10" fontId="3" fillId="43" borderId="0" xfId="0" applyNumberFormat="1" applyFont="1" applyFill="1" applyAlignment="1">
      <alignment horizontal="right"/>
    </xf>
    <xf numFmtId="9" fontId="3" fillId="43" borderId="0" xfId="59" applyFont="1" applyFill="1" applyAlignment="1">
      <alignment/>
    </xf>
    <xf numFmtId="195" fontId="3" fillId="43" borderId="0" xfId="59" applyNumberFormat="1" applyFont="1" applyFill="1" applyAlignment="1">
      <alignment horizontal="center"/>
    </xf>
    <xf numFmtId="188" fontId="3" fillId="43" borderId="0" xfId="59" applyNumberFormat="1" applyFont="1" applyFill="1" applyAlignment="1">
      <alignment horizontal="center"/>
    </xf>
    <xf numFmtId="3" fontId="0" fillId="43" borderId="0" xfId="0" applyNumberFormat="1" applyFont="1" applyFill="1" applyAlignment="1">
      <alignment/>
    </xf>
    <xf numFmtId="3" fontId="7" fillId="43" borderId="64" xfId="0" applyNumberFormat="1" applyFont="1" applyFill="1" applyBorder="1" applyAlignment="1">
      <alignment horizontal="center"/>
    </xf>
    <xf numFmtId="3" fontId="3" fillId="43" borderId="64" xfId="0" applyNumberFormat="1" applyFont="1" applyFill="1" applyBorder="1" applyAlignment="1">
      <alignment horizontal="center"/>
    </xf>
    <xf numFmtId="3" fontId="7" fillId="43" borderId="64" xfId="0" applyNumberFormat="1" applyFont="1" applyFill="1" applyBorder="1" applyAlignment="1">
      <alignment/>
    </xf>
    <xf numFmtId="3" fontId="6" fillId="43" borderId="64" xfId="0" applyNumberFormat="1" applyFont="1" applyFill="1" applyBorder="1" applyAlignment="1">
      <alignment/>
    </xf>
    <xf numFmtId="10" fontId="4" fillId="43" borderId="64" xfId="59" applyNumberFormat="1" applyFont="1" applyFill="1" applyBorder="1" applyAlignment="1">
      <alignment horizontal="center"/>
    </xf>
    <xf numFmtId="10" fontId="4" fillId="43" borderId="64" xfId="0" applyNumberFormat="1" applyFont="1" applyFill="1" applyBorder="1" applyAlignment="1">
      <alignment horizontal="center"/>
    </xf>
    <xf numFmtId="9" fontId="4" fillId="43" borderId="64" xfId="59" applyFont="1" applyFill="1" applyBorder="1" applyAlignment="1">
      <alignment horizontal="center"/>
    </xf>
    <xf numFmtId="188" fontId="4" fillId="43" borderId="64" xfId="59" applyNumberFormat="1" applyFont="1" applyFill="1" applyBorder="1" applyAlignment="1">
      <alignment horizontal="center"/>
    </xf>
    <xf numFmtId="9" fontId="3" fillId="43" borderId="64" xfId="0" applyNumberFormat="1" applyFont="1" applyFill="1" applyBorder="1" applyAlignment="1">
      <alignment horizontal="center"/>
    </xf>
    <xf numFmtId="211" fontId="3" fillId="43" borderId="0" xfId="0" applyNumberFormat="1" applyFont="1" applyFill="1" applyAlignment="1">
      <alignment horizontal="right"/>
    </xf>
    <xf numFmtId="211" fontId="3" fillId="43" borderId="0" xfId="59" applyNumberFormat="1" applyFont="1" applyFill="1" applyAlignment="1">
      <alignment horizontal="center"/>
    </xf>
    <xf numFmtId="3" fontId="7" fillId="43" borderId="0" xfId="0" applyNumberFormat="1" applyFont="1" applyFill="1" applyAlignment="1">
      <alignment horizontal="center"/>
    </xf>
    <xf numFmtId="3" fontId="3" fillId="43" borderId="0" xfId="0" applyNumberFormat="1" applyFont="1" applyFill="1" applyAlignment="1">
      <alignment horizontal="center"/>
    </xf>
    <xf numFmtId="0" fontId="4" fillId="43" borderId="0" xfId="0" applyFont="1" applyFill="1" applyAlignment="1">
      <alignment/>
    </xf>
    <xf numFmtId="197" fontId="0" fillId="43" borderId="0" xfId="0" applyNumberFormat="1" applyFont="1" applyFill="1" applyAlignment="1">
      <alignment/>
    </xf>
    <xf numFmtId="3" fontId="0" fillId="43" borderId="0" xfId="59" applyNumberFormat="1" applyFont="1" applyFill="1" applyAlignment="1">
      <alignment/>
    </xf>
    <xf numFmtId="197" fontId="0" fillId="43" borderId="0" xfId="59" applyNumberFormat="1" applyFont="1" applyFill="1" applyAlignment="1">
      <alignment/>
    </xf>
    <xf numFmtId="0" fontId="4" fillId="43" borderId="64" xfId="0" applyFont="1" applyFill="1" applyBorder="1" applyAlignment="1">
      <alignment/>
    </xf>
    <xf numFmtId="3" fontId="4" fillId="43" borderId="64" xfId="0" applyNumberFormat="1" applyFont="1" applyFill="1" applyBorder="1" applyAlignment="1">
      <alignment horizontal="center"/>
    </xf>
    <xf numFmtId="197" fontId="4" fillId="43" borderId="64" xfId="59" applyNumberFormat="1" applyFont="1" applyFill="1" applyBorder="1" applyAlignment="1">
      <alignment horizontal="right"/>
    </xf>
    <xf numFmtId="197" fontId="0" fillId="43" borderId="64" xfId="0" applyNumberFormat="1" applyFont="1" applyFill="1" applyBorder="1" applyAlignment="1">
      <alignment/>
    </xf>
    <xf numFmtId="3" fontId="0" fillId="43" borderId="64" xfId="59" applyNumberFormat="1" applyFont="1" applyFill="1" applyBorder="1" applyAlignment="1">
      <alignment/>
    </xf>
    <xf numFmtId="9" fontId="0" fillId="43" borderId="64" xfId="59" applyFont="1" applyFill="1" applyBorder="1" applyAlignment="1">
      <alignment/>
    </xf>
    <xf numFmtId="9" fontId="0" fillId="43" borderId="64" xfId="0" applyNumberFormat="1" applyFont="1" applyFill="1" applyBorder="1" applyAlignment="1">
      <alignment/>
    </xf>
    <xf numFmtId="0" fontId="5" fillId="43" borderId="64" xfId="0" applyFont="1" applyFill="1" applyBorder="1" applyAlignment="1">
      <alignment horizontal="center" vertical="center"/>
    </xf>
    <xf numFmtId="0" fontId="5" fillId="43" borderId="64" xfId="0" applyFont="1" applyFill="1" applyBorder="1" applyAlignment="1">
      <alignment horizontal="center"/>
    </xf>
    <xf numFmtId="9" fontId="3" fillId="43" borderId="64" xfId="59" applyFont="1" applyFill="1" applyBorder="1" applyAlignment="1">
      <alignment horizontal="center"/>
    </xf>
    <xf numFmtId="3" fontId="0" fillId="43" borderId="64" xfId="0" applyNumberFormat="1" applyFont="1" applyFill="1" applyBorder="1" applyAlignment="1">
      <alignment horizontal="center"/>
    </xf>
    <xf numFmtId="3" fontId="0" fillId="43" borderId="64" xfId="59" applyNumberFormat="1" applyFont="1" applyFill="1" applyBorder="1" applyAlignment="1">
      <alignment horizontal="center"/>
    </xf>
    <xf numFmtId="0" fontId="5" fillId="43" borderId="64" xfId="0" applyFont="1" applyFill="1" applyBorder="1" applyAlignment="1">
      <alignment/>
    </xf>
    <xf numFmtId="3" fontId="5" fillId="43" borderId="64" xfId="59" applyNumberFormat="1" applyFont="1" applyFill="1" applyBorder="1" applyAlignment="1">
      <alignment horizontal="center"/>
    </xf>
    <xf numFmtId="0" fontId="8" fillId="43" borderId="64" xfId="0" applyFont="1" applyFill="1" applyBorder="1" applyAlignment="1">
      <alignment/>
    </xf>
    <xf numFmtId="3" fontId="8" fillId="43" borderId="64" xfId="0" applyNumberFormat="1" applyFont="1" applyFill="1" applyBorder="1" applyAlignment="1">
      <alignment horizontal="center"/>
    </xf>
    <xf numFmtId="179" fontId="0" fillId="43" borderId="64" xfId="42" applyFont="1" applyFill="1" applyBorder="1" applyAlignment="1">
      <alignment horizontal="center"/>
    </xf>
    <xf numFmtId="0" fontId="0" fillId="43" borderId="0" xfId="0" applyFont="1" applyFill="1" applyBorder="1" applyAlignment="1">
      <alignment/>
    </xf>
    <xf numFmtId="211" fontId="0" fillId="43" borderId="0" xfId="0" applyNumberFormat="1" applyFont="1" applyFill="1" applyBorder="1" applyAlignment="1">
      <alignment horizontal="center"/>
    </xf>
    <xf numFmtId="0" fontId="4" fillId="43" borderId="11" xfId="0" applyFont="1" applyFill="1" applyBorder="1" applyAlignment="1">
      <alignment/>
    </xf>
    <xf numFmtId="3" fontId="0" fillId="43" borderId="0" xfId="0" applyNumberFormat="1" applyFont="1" applyFill="1" applyAlignment="1">
      <alignment horizontal="center"/>
    </xf>
    <xf numFmtId="0" fontId="4" fillId="43" borderId="0" xfId="0" applyFont="1" applyFill="1" applyBorder="1" applyAlignment="1">
      <alignment/>
    </xf>
    <xf numFmtId="192" fontId="0" fillId="43" borderId="64" xfId="59" applyNumberFormat="1" applyFont="1" applyFill="1" applyBorder="1" applyAlignment="1">
      <alignment horizontal="center"/>
    </xf>
    <xf numFmtId="10" fontId="0" fillId="43" borderId="64" xfId="59" applyNumberFormat="1" applyFont="1" applyFill="1" applyBorder="1" applyAlignment="1">
      <alignment horizontal="center"/>
    </xf>
    <xf numFmtId="3" fontId="5" fillId="43" borderId="64" xfId="0" applyNumberFormat="1" applyFont="1" applyFill="1" applyBorder="1" applyAlignment="1">
      <alignment/>
    </xf>
    <xf numFmtId="3" fontId="3" fillId="43" borderId="64" xfId="0" applyNumberFormat="1" applyFont="1" applyFill="1" applyBorder="1" applyAlignment="1">
      <alignment horizontal="right"/>
    </xf>
    <xf numFmtId="193" fontId="3" fillId="43" borderId="64" xfId="59" applyNumberFormat="1" applyFont="1" applyFill="1" applyBorder="1" applyAlignment="1">
      <alignment/>
    </xf>
    <xf numFmtId="192" fontId="3" fillId="43" borderId="64" xfId="59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justify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justify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justify"/>
    </xf>
    <xf numFmtId="0" fontId="0" fillId="0" borderId="0" xfId="0" applyNumberFormat="1" applyFill="1" applyAlignment="1">
      <alignment/>
    </xf>
    <xf numFmtId="0" fontId="11" fillId="0" borderId="0" xfId="0" applyNumberFormat="1" applyFont="1" applyFill="1" applyAlignment="1">
      <alignment/>
    </xf>
    <xf numFmtId="9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justify"/>
    </xf>
    <xf numFmtId="0" fontId="1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left"/>
    </xf>
    <xf numFmtId="3" fontId="5" fillId="0" borderId="21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3" fontId="5" fillId="0" borderId="20" xfId="59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3" fontId="5" fillId="0" borderId="25" xfId="5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8" fontId="5" fillId="0" borderId="0" xfId="59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2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188" fontId="0" fillId="0" borderId="19" xfId="0" applyNumberFormat="1" applyFont="1" applyFill="1" applyBorder="1" applyAlignment="1">
      <alignment horizontal="center"/>
    </xf>
    <xf numFmtId="188" fontId="0" fillId="0" borderId="2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188" fontId="0" fillId="0" borderId="24" xfId="0" applyNumberFormat="1" applyFont="1" applyFill="1" applyBorder="1" applyAlignment="1">
      <alignment horizontal="center"/>
    </xf>
    <xf numFmtId="188" fontId="0" fillId="0" borderId="2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1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/>
    </xf>
    <xf numFmtId="9" fontId="11" fillId="0" borderId="24" xfId="0" applyNumberFormat="1" applyFont="1" applyFill="1" applyBorder="1" applyAlignment="1">
      <alignment horizontal="center"/>
    </xf>
    <xf numFmtId="9" fontId="11" fillId="0" borderId="25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0" fontId="0" fillId="0" borderId="19" xfId="59" applyNumberFormat="1" applyFont="1" applyFill="1" applyBorder="1" applyAlignment="1">
      <alignment/>
    </xf>
    <xf numFmtId="10" fontId="0" fillId="0" borderId="20" xfId="59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4" fontId="0" fillId="0" borderId="24" xfId="59" applyNumberFormat="1" applyFont="1" applyFill="1" applyBorder="1" applyAlignment="1">
      <alignment/>
    </xf>
    <xf numFmtId="4" fontId="0" fillId="0" borderId="25" xfId="59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10" fontId="0" fillId="0" borderId="24" xfId="59" applyNumberFormat="1" applyFont="1" applyFill="1" applyBorder="1" applyAlignment="1">
      <alignment horizontal="center"/>
    </xf>
    <xf numFmtId="10" fontId="0" fillId="0" borderId="25" xfId="59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11" fillId="0" borderId="0" xfId="59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justify"/>
    </xf>
    <xf numFmtId="3" fontId="0" fillId="0" borderId="19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5" fillId="0" borderId="77" xfId="0" applyFont="1" applyFill="1" applyBorder="1" applyAlignment="1">
      <alignment horizontal="center"/>
    </xf>
    <xf numFmtId="0" fontId="0" fillId="0" borderId="78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77" xfId="0" applyNumberFormat="1" applyFont="1" applyFill="1" applyBorder="1" applyAlignment="1">
      <alignment/>
    </xf>
    <xf numFmtId="0" fontId="5" fillId="0" borderId="78" xfId="0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77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5" fillId="0" borderId="79" xfId="0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3" fontId="0" fillId="0" borderId="81" xfId="0" applyNumberFormat="1" applyFont="1" applyFill="1" applyBorder="1" applyAlignment="1">
      <alignment/>
    </xf>
    <xf numFmtId="3" fontId="0" fillId="0" borderId="24" xfId="59" applyNumberFormat="1" applyFont="1" applyFill="1" applyBorder="1" applyAlignment="1">
      <alignment horizontal="center"/>
    </xf>
    <xf numFmtId="3" fontId="0" fillId="0" borderId="25" xfId="59" applyNumberFormat="1" applyFont="1" applyFill="1" applyBorder="1" applyAlignment="1">
      <alignment horizontal="center"/>
    </xf>
    <xf numFmtId="9" fontId="0" fillId="0" borderId="19" xfId="59" applyFont="1" applyFill="1" applyBorder="1" applyAlignment="1">
      <alignment/>
    </xf>
    <xf numFmtId="9" fontId="0" fillId="0" borderId="20" xfId="59" applyFont="1" applyFill="1" applyBorder="1" applyAlignment="1">
      <alignment/>
    </xf>
    <xf numFmtId="3" fontId="0" fillId="0" borderId="19" xfId="59" applyNumberFormat="1" applyFont="1" applyFill="1" applyBorder="1" applyAlignment="1">
      <alignment/>
    </xf>
    <xf numFmtId="3" fontId="0" fillId="0" borderId="20" xfId="59" applyNumberFormat="1" applyFont="1" applyFill="1" applyBorder="1" applyAlignment="1">
      <alignment/>
    </xf>
    <xf numFmtId="3" fontId="0" fillId="0" borderId="24" xfId="59" applyNumberFormat="1" applyFont="1" applyFill="1" applyBorder="1" applyAlignment="1">
      <alignment/>
    </xf>
    <xf numFmtId="3" fontId="0" fillId="0" borderId="25" xfId="59" applyNumberFormat="1" applyFont="1" applyFill="1" applyBorder="1" applyAlignment="1">
      <alignment/>
    </xf>
    <xf numFmtId="0" fontId="20" fillId="0" borderId="0" xfId="0" applyFont="1" applyFill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3" fontId="5" fillId="0" borderId="19" xfId="59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3" fontId="5" fillId="0" borderId="20" xfId="59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0" fillId="0" borderId="64" xfId="0" applyFont="1" applyFill="1" applyBorder="1" applyAlignment="1">
      <alignment/>
    </xf>
    <xf numFmtId="0" fontId="5" fillId="0" borderId="64" xfId="0" applyFont="1" applyFill="1" applyBorder="1" applyAlignment="1">
      <alignment horizontal="center"/>
    </xf>
    <xf numFmtId="0" fontId="5" fillId="0" borderId="64" xfId="0" applyFont="1" applyFill="1" applyBorder="1" applyAlignment="1">
      <alignment/>
    </xf>
    <xf numFmtId="3" fontId="5" fillId="0" borderId="64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0" xfId="0" applyNumberFormat="1" applyFill="1" applyAlignment="1">
      <alignment horizontal="left"/>
    </xf>
    <xf numFmtId="0" fontId="17" fillId="0" borderId="21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 vertical="top"/>
    </xf>
    <xf numFmtId="0" fontId="17" fillId="0" borderId="22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 vertical="top"/>
    </xf>
    <xf numFmtId="0" fontId="17" fillId="0" borderId="22" xfId="0" applyFont="1" applyFill="1" applyBorder="1" applyAlignment="1">
      <alignment vertical="top"/>
    </xf>
    <xf numFmtId="0" fontId="17" fillId="0" borderId="19" xfId="0" applyFont="1" applyFill="1" applyBorder="1" applyAlignment="1">
      <alignment horizontal="right" vertical="top"/>
    </xf>
    <xf numFmtId="0" fontId="17" fillId="0" borderId="20" xfId="0" applyFont="1" applyFill="1" applyBorder="1" applyAlignment="1">
      <alignment horizontal="right" vertical="top"/>
    </xf>
    <xf numFmtId="0" fontId="17" fillId="0" borderId="23" xfId="0" applyFont="1" applyFill="1" applyBorder="1" applyAlignment="1">
      <alignment vertical="top"/>
    </xf>
    <xf numFmtId="0" fontId="17" fillId="0" borderId="24" xfId="0" applyFont="1" applyFill="1" applyBorder="1" applyAlignment="1">
      <alignment horizontal="right" vertical="top"/>
    </xf>
    <xf numFmtId="0" fontId="17" fillId="0" borderId="25" xfId="0" applyFont="1" applyFill="1" applyBorder="1" applyAlignment="1">
      <alignment horizontal="right" vertical="top"/>
    </xf>
    <xf numFmtId="0" fontId="17" fillId="0" borderId="21" xfId="0" applyFont="1" applyFill="1" applyBorder="1" applyAlignment="1">
      <alignment vertical="top"/>
    </xf>
    <xf numFmtId="0" fontId="17" fillId="0" borderId="26" xfId="0" applyFont="1" applyFill="1" applyBorder="1" applyAlignment="1">
      <alignment horizontal="center" vertical="top"/>
    </xf>
    <xf numFmtId="0" fontId="17" fillId="0" borderId="19" xfId="0" applyFont="1" applyFill="1" applyBorder="1" applyAlignment="1">
      <alignment horizontal="center" vertical="top"/>
    </xf>
    <xf numFmtId="0" fontId="17" fillId="0" borderId="22" xfId="0" applyFont="1" applyFill="1" applyBorder="1" applyAlignment="1">
      <alignment horizontal="right" vertical="top"/>
    </xf>
    <xf numFmtId="3" fontId="17" fillId="0" borderId="19" xfId="0" applyNumberFormat="1" applyFont="1" applyFill="1" applyBorder="1" applyAlignment="1">
      <alignment horizontal="right" vertical="top"/>
    </xf>
    <xf numFmtId="3" fontId="17" fillId="0" borderId="20" xfId="0" applyNumberFormat="1" applyFont="1" applyFill="1" applyBorder="1" applyAlignment="1">
      <alignment horizontal="right" vertical="top"/>
    </xf>
    <xf numFmtId="3" fontId="17" fillId="0" borderId="24" xfId="0" applyNumberFormat="1" applyFont="1" applyFill="1" applyBorder="1" applyAlignment="1">
      <alignment horizontal="right" vertical="top"/>
    </xf>
    <xf numFmtId="3" fontId="17" fillId="0" borderId="25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 quotePrefix="1">
      <alignment/>
    </xf>
    <xf numFmtId="0" fontId="17" fillId="0" borderId="21" xfId="0" applyFont="1" applyFill="1" applyBorder="1" applyAlignment="1">
      <alignment horizontal="center" vertical="top"/>
    </xf>
    <xf numFmtId="4" fontId="17" fillId="0" borderId="20" xfId="0" applyNumberFormat="1" applyFont="1" applyFill="1" applyBorder="1" applyAlignment="1">
      <alignment horizontal="right" vertical="top"/>
    </xf>
    <xf numFmtId="0" fontId="17" fillId="0" borderId="22" xfId="0" applyFont="1" applyFill="1" applyBorder="1" applyAlignment="1">
      <alignment horizontal="center" vertical="top"/>
    </xf>
    <xf numFmtId="2" fontId="0" fillId="0" borderId="19" xfId="59" applyNumberFormat="1" applyFont="1" applyFill="1" applyBorder="1" applyAlignment="1">
      <alignment/>
    </xf>
    <xf numFmtId="2" fontId="0" fillId="0" borderId="20" xfId="59" applyNumberFormat="1" applyFont="1" applyFill="1" applyBorder="1" applyAlignment="1">
      <alignment/>
    </xf>
    <xf numFmtId="4" fontId="0" fillId="0" borderId="19" xfId="59" applyNumberFormat="1" applyFont="1" applyFill="1" applyBorder="1" applyAlignment="1">
      <alignment/>
    </xf>
    <xf numFmtId="4" fontId="0" fillId="0" borderId="20" xfId="59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2" fillId="0" borderId="21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vertical="top"/>
    </xf>
    <xf numFmtId="10" fontId="11" fillId="0" borderId="20" xfId="0" applyNumberFormat="1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10" fontId="11" fillId="0" borderId="20" xfId="59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/>
    </xf>
    <xf numFmtId="10" fontId="10" fillId="0" borderId="25" xfId="0" applyNumberFormat="1" applyFont="1" applyFill="1" applyBorder="1" applyAlignment="1">
      <alignment horizontal="center" vertical="top"/>
    </xf>
    <xf numFmtId="10" fontId="0" fillId="0" borderId="0" xfId="0" applyNumberFormat="1" applyFill="1" applyAlignment="1">
      <alignment/>
    </xf>
    <xf numFmtId="10" fontId="11" fillId="0" borderId="0" xfId="0" applyNumberFormat="1" applyFont="1" applyFill="1" applyAlignment="1">
      <alignment horizontal="left"/>
    </xf>
    <xf numFmtId="0" fontId="18" fillId="0" borderId="32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vertical="top"/>
    </xf>
    <xf numFmtId="211" fontId="17" fillId="0" borderId="19" xfId="0" applyNumberFormat="1" applyFont="1" applyFill="1" applyBorder="1" applyAlignment="1">
      <alignment horizontal="right" vertical="top"/>
    </xf>
    <xf numFmtId="211" fontId="17" fillId="0" borderId="20" xfId="0" applyNumberFormat="1" applyFont="1" applyFill="1" applyBorder="1" applyAlignment="1">
      <alignment horizontal="right" vertical="top"/>
    </xf>
    <xf numFmtId="0" fontId="17" fillId="0" borderId="23" xfId="0" applyFont="1" applyFill="1" applyBorder="1" applyAlignment="1">
      <alignment horizontal="right" vertical="top"/>
    </xf>
    <xf numFmtId="3" fontId="0" fillId="0" borderId="0" xfId="0" applyNumberFormat="1" applyFill="1" applyAlignment="1">
      <alignment/>
    </xf>
    <xf numFmtId="0" fontId="26" fillId="0" borderId="0" xfId="0" applyFont="1" applyFill="1" applyAlignment="1">
      <alignment horizontal="left"/>
    </xf>
    <xf numFmtId="10" fontId="11" fillId="0" borderId="0" xfId="0" applyNumberFormat="1" applyFont="1" applyFill="1" applyAlignment="1">
      <alignment horizontal="justify"/>
    </xf>
    <xf numFmtId="0" fontId="26" fillId="0" borderId="0" xfId="0" applyFont="1" applyFill="1" applyAlignment="1">
      <alignment horizontal="justify"/>
    </xf>
    <xf numFmtId="0" fontId="3" fillId="0" borderId="82" xfId="0" applyFont="1" applyFill="1" applyBorder="1" applyAlignment="1">
      <alignment/>
    </xf>
    <xf numFmtId="10" fontId="0" fillId="0" borderId="82" xfId="59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justify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0" fontId="15" fillId="0" borderId="0" xfId="59" applyNumberFormat="1" applyFont="1" applyFill="1" applyAlignment="1">
      <alignment/>
    </xf>
    <xf numFmtId="4" fontId="11" fillId="0" borderId="0" xfId="0" applyNumberFormat="1" applyFont="1" applyFill="1" applyAlignment="1">
      <alignment horizontal="left"/>
    </xf>
    <xf numFmtId="10" fontId="0" fillId="0" borderId="0" xfId="59" applyNumberFormat="1" applyFont="1" applyFill="1" applyAlignment="1">
      <alignment/>
    </xf>
    <xf numFmtId="10" fontId="11" fillId="0" borderId="0" xfId="59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3" fontId="5" fillId="0" borderId="83" xfId="0" applyNumberFormat="1" applyFont="1" applyFill="1" applyBorder="1" applyAlignment="1">
      <alignment horizontal="center"/>
    </xf>
    <xf numFmtId="1" fontId="5" fillId="0" borderId="83" xfId="0" applyNumberFormat="1" applyFont="1" applyFill="1" applyBorder="1" applyAlignment="1">
      <alignment horizontal="center"/>
    </xf>
    <xf numFmtId="0" fontId="17" fillId="0" borderId="83" xfId="0" applyFont="1" applyFill="1" applyBorder="1" applyAlignment="1">
      <alignment horizontal="center" vertical="top"/>
    </xf>
    <xf numFmtId="0" fontId="5" fillId="0" borderId="83" xfId="0" applyFont="1" applyFill="1" applyBorder="1" applyAlignment="1">
      <alignment/>
    </xf>
    <xf numFmtId="3" fontId="5" fillId="0" borderId="83" xfId="0" applyNumberFormat="1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17" fillId="0" borderId="83" xfId="0" applyFont="1" applyFill="1" applyBorder="1" applyAlignment="1">
      <alignment horizontal="right" vertical="top"/>
    </xf>
    <xf numFmtId="3" fontId="17" fillId="0" borderId="83" xfId="0" applyNumberFormat="1" applyFont="1" applyFill="1" applyBorder="1" applyAlignment="1">
      <alignment horizontal="right" vertical="top"/>
    </xf>
    <xf numFmtId="0" fontId="3" fillId="0" borderId="83" xfId="0" applyFont="1" applyFill="1" applyBorder="1" applyAlignment="1">
      <alignment/>
    </xf>
    <xf numFmtId="0" fontId="3" fillId="0" borderId="83" xfId="0" applyFont="1" applyFill="1" applyBorder="1" applyAlignment="1">
      <alignment horizontal="left"/>
    </xf>
    <xf numFmtId="0" fontId="0" fillId="0" borderId="83" xfId="0" applyFont="1" applyFill="1" applyBorder="1" applyAlignment="1">
      <alignment horizontal="left"/>
    </xf>
    <xf numFmtId="3" fontId="0" fillId="0" borderId="21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3" fontId="17" fillId="0" borderId="19" xfId="0" applyNumberFormat="1" applyFont="1" applyFill="1" applyBorder="1" applyAlignment="1">
      <alignment horizontal="center" vertical="top"/>
    </xf>
    <xf numFmtId="0" fontId="0" fillId="0" borderId="23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17" fillId="0" borderId="24" xfId="0" applyNumberFormat="1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center" vertical="top"/>
    </xf>
    <xf numFmtId="4" fontId="0" fillId="0" borderId="26" xfId="0" applyNumberFormat="1" applyFont="1" applyFill="1" applyBorder="1" applyAlignment="1">
      <alignment horizontal="center" vertical="top"/>
    </xf>
    <xf numFmtId="4" fontId="0" fillId="0" borderId="32" xfId="0" applyNumberFormat="1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vertical="top"/>
    </xf>
    <xf numFmtId="4" fontId="0" fillId="0" borderId="19" xfId="0" applyNumberFormat="1" applyFont="1" applyFill="1" applyBorder="1" applyAlignment="1">
      <alignment vertical="top"/>
    </xf>
    <xf numFmtId="4" fontId="0" fillId="0" borderId="19" xfId="0" applyNumberFormat="1" applyFont="1" applyFill="1" applyBorder="1" applyAlignment="1">
      <alignment horizontal="center" vertical="top"/>
    </xf>
    <xf numFmtId="4" fontId="0" fillId="0" borderId="20" xfId="0" applyNumberFormat="1" applyFont="1" applyFill="1" applyBorder="1" applyAlignment="1">
      <alignment vertical="top"/>
    </xf>
    <xf numFmtId="0" fontId="0" fillId="0" borderId="19" xfId="0" applyFont="1" applyFill="1" applyBorder="1" applyAlignment="1">
      <alignment horizontal="center" vertical="top"/>
    </xf>
    <xf numFmtId="3" fontId="0" fillId="0" borderId="19" xfId="0" applyNumberFormat="1" applyFont="1" applyFill="1" applyBorder="1" applyAlignment="1">
      <alignment horizontal="right" vertical="top"/>
    </xf>
    <xf numFmtId="3" fontId="0" fillId="0" borderId="20" xfId="0" applyNumberFormat="1" applyFont="1" applyFill="1" applyBorder="1" applyAlignment="1">
      <alignment horizontal="right" vertical="top"/>
    </xf>
    <xf numFmtId="3" fontId="0" fillId="0" borderId="19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vertical="top"/>
    </xf>
    <xf numFmtId="4" fontId="3" fillId="0" borderId="24" xfId="0" applyNumberFormat="1" applyFont="1" applyFill="1" applyBorder="1" applyAlignment="1">
      <alignment vertical="top"/>
    </xf>
    <xf numFmtId="4" fontId="3" fillId="0" borderId="24" xfId="0" applyNumberFormat="1" applyFont="1" applyFill="1" applyBorder="1" applyAlignment="1">
      <alignment horizontal="center" vertical="top"/>
    </xf>
    <xf numFmtId="3" fontId="0" fillId="0" borderId="25" xfId="0" applyNumberFormat="1" applyFont="1" applyFill="1" applyBorder="1" applyAlignment="1">
      <alignment horizontal="right" vertical="top"/>
    </xf>
    <xf numFmtId="0" fontId="11" fillId="0" borderId="21" xfId="0" applyFont="1" applyFill="1" applyBorder="1" applyAlignment="1">
      <alignment horizontal="justify" vertical="top"/>
    </xf>
    <xf numFmtId="0" fontId="11" fillId="0" borderId="32" xfId="0" applyFont="1" applyFill="1" applyBorder="1" applyAlignment="1">
      <alignment horizontal="justify" vertical="top"/>
    </xf>
    <xf numFmtId="0" fontId="11" fillId="0" borderId="22" xfId="0" applyFont="1" applyFill="1" applyBorder="1" applyAlignment="1">
      <alignment horizontal="justify" vertical="top"/>
    </xf>
    <xf numFmtId="0" fontId="11" fillId="0" borderId="20" xfId="0" applyFont="1" applyFill="1" applyBorder="1" applyAlignment="1">
      <alignment horizontal="justify" vertical="top"/>
    </xf>
    <xf numFmtId="4" fontId="11" fillId="0" borderId="20" xfId="0" applyNumberFormat="1" applyFont="1" applyFill="1" applyBorder="1" applyAlignment="1">
      <alignment horizontal="right" vertical="top"/>
    </xf>
    <xf numFmtId="0" fontId="11" fillId="0" borderId="23" xfId="0" applyFont="1" applyFill="1" applyBorder="1" applyAlignment="1">
      <alignment horizontal="justify" vertical="top"/>
    </xf>
    <xf numFmtId="4" fontId="0" fillId="0" borderId="25" xfId="0" applyNumberFormat="1" applyFont="1" applyFill="1" applyBorder="1" applyAlignment="1">
      <alignment horizontal="right" vertical="top"/>
    </xf>
    <xf numFmtId="4" fontId="1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4" fontId="11" fillId="0" borderId="84" xfId="0" applyNumberFormat="1" applyFont="1" applyFill="1" applyBorder="1" applyAlignment="1">
      <alignment horizontal="center" vertical="top"/>
    </xf>
    <xf numFmtId="4" fontId="11" fillId="0" borderId="85" xfId="0" applyNumberFormat="1" applyFont="1" applyFill="1" applyBorder="1" applyAlignment="1">
      <alignment horizontal="center" vertical="top"/>
    </xf>
    <xf numFmtId="4" fontId="11" fillId="0" borderId="78" xfId="0" applyNumberFormat="1" applyFont="1" applyFill="1" applyBorder="1" applyAlignment="1">
      <alignment horizontal="center" vertical="top"/>
    </xf>
    <xf numFmtId="4" fontId="11" fillId="0" borderId="77" xfId="0" applyNumberFormat="1" applyFont="1" applyFill="1" applyBorder="1" applyAlignment="1">
      <alignment horizontal="center" vertical="top"/>
    </xf>
    <xf numFmtId="4" fontId="11" fillId="0" borderId="79" xfId="0" applyNumberFormat="1" applyFont="1" applyFill="1" applyBorder="1" applyAlignment="1">
      <alignment horizontal="center" vertical="top"/>
    </xf>
    <xf numFmtId="4" fontId="11" fillId="0" borderId="81" xfId="0" applyNumberFormat="1" applyFont="1" applyFill="1" applyBorder="1" applyAlignment="1">
      <alignment horizontal="center" vertical="top"/>
    </xf>
    <xf numFmtId="4" fontId="11" fillId="0" borderId="0" xfId="0" applyNumberFormat="1" applyFont="1" applyFill="1" applyAlignment="1">
      <alignment horizontal="justify"/>
    </xf>
    <xf numFmtId="3" fontId="11" fillId="0" borderId="0" xfId="0" applyNumberFormat="1" applyFont="1" applyFill="1" applyAlignment="1">
      <alignment horizontal="justify"/>
    </xf>
    <xf numFmtId="0" fontId="11" fillId="0" borderId="86" xfId="0" applyFont="1" applyFill="1" applyBorder="1" applyAlignment="1">
      <alignment horizontal="center" vertical="top"/>
    </xf>
    <xf numFmtId="0" fontId="11" fillId="0" borderId="87" xfId="0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/>
    </xf>
    <xf numFmtId="0" fontId="11" fillId="0" borderId="41" xfId="0" applyFont="1" applyFill="1" applyBorder="1" applyAlignment="1">
      <alignment horizontal="center" vertical="top"/>
    </xf>
    <xf numFmtId="0" fontId="11" fillId="0" borderId="88" xfId="0" applyFont="1" applyFill="1" applyBorder="1" applyAlignment="1">
      <alignment horizontal="center" vertical="top"/>
    </xf>
    <xf numFmtId="0" fontId="11" fillId="0" borderId="53" xfId="0" applyFont="1" applyFill="1" applyBorder="1" applyAlignment="1">
      <alignment horizontal="center" vertical="top"/>
    </xf>
    <xf numFmtId="0" fontId="30" fillId="0" borderId="89" xfId="0" applyFont="1" applyFill="1" applyBorder="1" applyAlignment="1" applyProtection="1">
      <alignment/>
      <protection hidden="1"/>
    </xf>
    <xf numFmtId="0" fontId="30" fillId="0" borderId="90" xfId="0" applyFont="1" applyFill="1" applyBorder="1" applyAlignment="1" applyProtection="1">
      <alignment/>
      <protection hidden="1"/>
    </xf>
    <xf numFmtId="3" fontId="32" fillId="0" borderId="90" xfId="0" applyNumberFormat="1" applyFont="1" applyFill="1" applyBorder="1" applyAlignment="1" applyProtection="1">
      <alignment horizontal="centerContinuous" vertical="center"/>
      <protection hidden="1"/>
    </xf>
    <xf numFmtId="3" fontId="30" fillId="0" borderId="90" xfId="0" applyNumberFormat="1" applyFont="1" applyFill="1" applyBorder="1" applyAlignment="1" applyProtection="1">
      <alignment horizontal="centerContinuous"/>
      <protection hidden="1"/>
    </xf>
    <xf numFmtId="49" fontId="30" fillId="0" borderId="91" xfId="0" applyNumberFormat="1" applyFont="1" applyFill="1" applyBorder="1" applyAlignment="1" applyProtection="1">
      <alignment horizontal="centerContinuous"/>
      <protection hidden="1"/>
    </xf>
    <xf numFmtId="0" fontId="5" fillId="0" borderId="92" xfId="0" applyFont="1" applyFill="1" applyBorder="1" applyAlignment="1" applyProtection="1">
      <alignment vertical="center"/>
      <protection hidden="1"/>
    </xf>
    <xf numFmtId="0" fontId="5" fillId="0" borderId="93" xfId="0" applyFont="1" applyFill="1" applyBorder="1" applyAlignment="1" applyProtection="1">
      <alignment horizontal="center" vertical="center"/>
      <protection hidden="1"/>
    </xf>
    <xf numFmtId="0" fontId="32" fillId="0" borderId="93" xfId="0" applyFont="1" applyFill="1" applyBorder="1" applyAlignment="1" applyProtection="1">
      <alignment horizontal="center" vertical="center"/>
      <protection hidden="1"/>
    </xf>
    <xf numFmtId="3" fontId="32" fillId="0" borderId="94" xfId="0" applyNumberFormat="1" applyFont="1" applyFill="1" applyBorder="1" applyAlignment="1" applyProtection="1">
      <alignment horizontal="centerContinuous" vertical="center"/>
      <protection hidden="1"/>
    </xf>
    <xf numFmtId="0" fontId="5" fillId="0" borderId="92" xfId="0" applyFont="1" applyFill="1" applyBorder="1" applyAlignment="1" applyProtection="1">
      <alignment horizontal="center"/>
      <protection hidden="1"/>
    </xf>
    <xf numFmtId="0" fontId="5" fillId="0" borderId="93" xfId="0" applyFont="1" applyFill="1" applyBorder="1" applyAlignment="1" applyProtection="1">
      <alignment horizontal="center"/>
      <protection hidden="1"/>
    </xf>
    <xf numFmtId="0" fontId="32" fillId="0" borderId="93" xfId="0" applyFont="1" applyFill="1" applyBorder="1" applyAlignment="1" applyProtection="1">
      <alignment horizontal="center"/>
      <protection hidden="1"/>
    </xf>
    <xf numFmtId="3" fontId="32" fillId="0" borderId="94" xfId="0" applyNumberFormat="1" applyFont="1" applyFill="1" applyBorder="1" applyAlignment="1" applyProtection="1">
      <alignment horizontal="center"/>
      <protection hidden="1"/>
    </xf>
    <xf numFmtId="49" fontId="0" fillId="0" borderId="92" xfId="42" applyNumberFormat="1" applyFont="1" applyFill="1" applyBorder="1" applyAlignment="1" applyProtection="1">
      <alignment horizontal="center"/>
      <protection hidden="1"/>
    </xf>
    <xf numFmtId="0" fontId="5" fillId="0" borderId="93" xfId="0" applyFont="1" applyFill="1" applyBorder="1" applyAlignment="1" applyProtection="1">
      <alignment wrapText="1"/>
      <protection hidden="1"/>
    </xf>
    <xf numFmtId="49" fontId="30" fillId="0" borderId="93" xfId="0" applyNumberFormat="1" applyFont="1" applyFill="1" applyBorder="1" applyAlignment="1" applyProtection="1">
      <alignment horizontal="center"/>
      <protection hidden="1"/>
    </xf>
    <xf numFmtId="3" fontId="30" fillId="0" borderId="93" xfId="0" applyNumberFormat="1" applyFont="1" applyFill="1" applyBorder="1" applyAlignment="1" applyProtection="1">
      <alignment/>
      <protection locked="0"/>
    </xf>
    <xf numFmtId="0" fontId="5" fillId="0" borderId="93" xfId="0" applyFont="1" applyFill="1" applyBorder="1" applyAlignment="1" applyProtection="1">
      <alignment/>
      <protection hidden="1"/>
    </xf>
    <xf numFmtId="49" fontId="32" fillId="0" borderId="93" xfId="0" applyNumberFormat="1" applyFont="1" applyFill="1" applyBorder="1" applyAlignment="1" applyProtection="1">
      <alignment horizontal="center"/>
      <protection hidden="1"/>
    </xf>
    <xf numFmtId="3" fontId="32" fillId="0" borderId="94" xfId="0" applyNumberFormat="1" applyFont="1" applyFill="1" applyBorder="1" applyAlignment="1" applyProtection="1">
      <alignment/>
      <protection hidden="1"/>
    </xf>
    <xf numFmtId="49" fontId="0" fillId="0" borderId="92" xfId="0" applyNumberFormat="1" applyFont="1" applyFill="1" applyBorder="1" applyAlignment="1" applyProtection="1">
      <alignment horizontal="center"/>
      <protection hidden="1"/>
    </xf>
    <xf numFmtId="0" fontId="0" fillId="0" borderId="93" xfId="0" applyFont="1" applyFill="1" applyBorder="1" applyAlignment="1" applyProtection="1">
      <alignment horizontal="left"/>
      <protection hidden="1"/>
    </xf>
    <xf numFmtId="0" fontId="0" fillId="0" borderId="93" xfId="0" applyFont="1" applyFill="1" applyBorder="1" applyAlignment="1" applyProtection="1">
      <alignment/>
      <protection hidden="1"/>
    </xf>
    <xf numFmtId="49" fontId="0" fillId="0" borderId="95" xfId="0" applyNumberFormat="1" applyFont="1" applyFill="1" applyBorder="1" applyAlignment="1" applyProtection="1">
      <alignment horizontal="center"/>
      <protection hidden="1"/>
    </xf>
    <xf numFmtId="0" fontId="0" fillId="0" borderId="96" xfId="0" applyFont="1" applyFill="1" applyBorder="1" applyAlignment="1" applyProtection="1">
      <alignment/>
      <protection hidden="1"/>
    </xf>
    <xf numFmtId="49" fontId="30" fillId="0" borderId="96" xfId="0" applyNumberFormat="1" applyFont="1" applyFill="1" applyBorder="1" applyAlignment="1" applyProtection="1">
      <alignment horizontal="center"/>
      <protection hidden="1"/>
    </xf>
    <xf numFmtId="0" fontId="34" fillId="0" borderId="90" xfId="0" applyFont="1" applyFill="1" applyBorder="1" applyAlignment="1" applyProtection="1">
      <alignment horizontal="center" wrapText="1"/>
      <protection hidden="1"/>
    </xf>
    <xf numFmtId="0" fontId="0" fillId="0" borderId="92" xfId="0" applyFont="1" applyFill="1" applyBorder="1" applyAlignment="1" applyProtection="1">
      <alignment vertical="center"/>
      <protection hidden="1"/>
    </xf>
    <xf numFmtId="0" fontId="0" fillId="0" borderId="93" xfId="0" applyFont="1" applyFill="1" applyBorder="1" applyAlignment="1" applyProtection="1">
      <alignment horizontal="center" vertical="center"/>
      <protection hidden="1"/>
    </xf>
    <xf numFmtId="0" fontId="30" fillId="0" borderId="93" xfId="0" applyFont="1" applyFill="1" applyBorder="1" applyAlignment="1" applyProtection="1">
      <alignment horizontal="center" vertical="center"/>
      <protection hidden="1"/>
    </xf>
    <xf numFmtId="3" fontId="30" fillId="0" borderId="93" xfId="0" applyNumberFormat="1" applyFont="1" applyFill="1" applyBorder="1" applyAlignment="1" applyProtection="1">
      <alignment horizontal="centerContinuous" vertical="center"/>
      <protection hidden="1"/>
    </xf>
    <xf numFmtId="3" fontId="30" fillId="0" borderId="93" xfId="0" applyNumberFormat="1" applyFont="1" applyFill="1" applyBorder="1" applyAlignment="1" applyProtection="1">
      <alignment horizontal="left" vertical="center"/>
      <protection hidden="1"/>
    </xf>
    <xf numFmtId="3" fontId="30" fillId="0" borderId="94" xfId="0" applyNumberFormat="1" applyFont="1" applyFill="1" applyBorder="1" applyAlignment="1" applyProtection="1">
      <alignment horizontal="centerContinuous" vertical="center"/>
      <protection hidden="1"/>
    </xf>
    <xf numFmtId="0" fontId="0" fillId="0" borderId="92" xfId="0" applyFont="1" applyFill="1" applyBorder="1" applyAlignment="1" applyProtection="1">
      <alignment horizontal="center"/>
      <protection hidden="1"/>
    </xf>
    <xf numFmtId="0" fontId="0" fillId="0" borderId="93" xfId="0" applyFont="1" applyFill="1" applyBorder="1" applyAlignment="1" applyProtection="1">
      <alignment horizontal="center"/>
      <protection hidden="1"/>
    </xf>
    <xf numFmtId="0" fontId="30" fillId="0" borderId="93" xfId="0" applyFont="1" applyFill="1" applyBorder="1" applyAlignment="1" applyProtection="1">
      <alignment horizontal="center"/>
      <protection hidden="1"/>
    </xf>
    <xf numFmtId="3" fontId="30" fillId="0" borderId="93" xfId="0" applyNumberFormat="1" applyFont="1" applyFill="1" applyBorder="1" applyAlignment="1" applyProtection="1">
      <alignment horizontal="center"/>
      <protection hidden="1"/>
    </xf>
    <xf numFmtId="3" fontId="30" fillId="0" borderId="94" xfId="0" applyNumberFormat="1" applyFont="1" applyFill="1" applyBorder="1" applyAlignment="1" applyProtection="1">
      <alignment horizontal="center"/>
      <protection hidden="1"/>
    </xf>
    <xf numFmtId="0" fontId="0" fillId="0" borderId="93" xfId="0" applyFont="1" applyFill="1" applyBorder="1" applyAlignment="1" applyProtection="1">
      <alignment wrapText="1"/>
      <protection hidden="1"/>
    </xf>
    <xf numFmtId="3" fontId="30" fillId="0" borderId="91" xfId="0" applyNumberFormat="1" applyFont="1" applyFill="1" applyBorder="1" applyAlignment="1" applyProtection="1">
      <alignment horizontal="centerContinuous"/>
      <protection hidden="1"/>
    </xf>
    <xf numFmtId="3" fontId="32" fillId="0" borderId="97" xfId="0" applyNumberFormat="1" applyFont="1" applyFill="1" applyBorder="1" applyAlignment="1" applyProtection="1">
      <alignment/>
      <protection hidden="1"/>
    </xf>
    <xf numFmtId="0" fontId="31" fillId="0" borderId="90" xfId="0" applyFont="1" applyFill="1" applyBorder="1" applyAlignment="1" applyProtection="1">
      <alignment horizontal="center" wrapText="1"/>
      <protection hidden="1"/>
    </xf>
    <xf numFmtId="0" fontId="0" fillId="0" borderId="98" xfId="0" applyFont="1" applyBorder="1" applyAlignment="1">
      <alignment/>
    </xf>
    <xf numFmtId="3" fontId="0" fillId="0" borderId="98" xfId="0" applyNumberFormat="1" applyFont="1" applyBorder="1" applyAlignment="1">
      <alignment/>
    </xf>
    <xf numFmtId="0" fontId="0" fillId="0" borderId="98" xfId="0" applyFill="1" applyBorder="1" applyAlignment="1">
      <alignment/>
    </xf>
    <xf numFmtId="3" fontId="0" fillId="0" borderId="98" xfId="0" applyNumberFormat="1" applyFill="1" applyBorder="1" applyAlignment="1">
      <alignment/>
    </xf>
    <xf numFmtId="4" fontId="0" fillId="0" borderId="98" xfId="0" applyNumberFormat="1" applyFont="1" applyBorder="1" applyAlignment="1">
      <alignment/>
    </xf>
    <xf numFmtId="0" fontId="0" fillId="0" borderId="98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22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/>
      <protection hidden="1"/>
    </xf>
    <xf numFmtId="0" fontId="0" fillId="0" borderId="93" xfId="0" applyFont="1" applyBorder="1" applyAlignment="1" applyProtection="1">
      <alignment/>
      <protection hidden="1"/>
    </xf>
    <xf numFmtId="1" fontId="0" fillId="0" borderId="93" xfId="0" applyNumberFormat="1" applyFont="1" applyBorder="1" applyAlignment="1" applyProtection="1">
      <alignment/>
      <protection hidden="1"/>
    </xf>
    <xf numFmtId="0" fontId="5" fillId="0" borderId="93" xfId="0" applyFont="1" applyBorder="1" applyAlignment="1" applyProtection="1">
      <alignment vertical="center" wrapText="1"/>
      <protection hidden="1"/>
    </xf>
    <xf numFmtId="0" fontId="5" fillId="0" borderId="93" xfId="0" applyFont="1" applyBorder="1" applyAlignment="1" applyProtection="1">
      <alignment horizontal="center" vertical="center" wrapText="1"/>
      <protection hidden="1"/>
    </xf>
    <xf numFmtId="3" fontId="0" fillId="0" borderId="93" xfId="0" applyNumberFormat="1" applyFont="1" applyBorder="1" applyAlignment="1" applyProtection="1">
      <alignment/>
      <protection hidden="1"/>
    </xf>
    <xf numFmtId="0" fontId="5" fillId="0" borderId="93" xfId="0" applyFont="1" applyBorder="1" applyAlignment="1" applyProtection="1">
      <alignment horizontal="center"/>
      <protection hidden="1"/>
    </xf>
    <xf numFmtId="49" fontId="0" fillId="0" borderId="93" xfId="42" applyNumberFormat="1" applyFont="1" applyBorder="1" applyAlignment="1" applyProtection="1">
      <alignment horizontal="center" wrapText="1"/>
      <protection hidden="1"/>
    </xf>
    <xf numFmtId="0" fontId="5" fillId="0" borderId="93" xfId="0" applyFont="1" applyBorder="1" applyAlignment="1" applyProtection="1">
      <alignment wrapText="1"/>
      <protection hidden="1"/>
    </xf>
    <xf numFmtId="49" fontId="0" fillId="0" borderId="93" xfId="0" applyNumberFormat="1" applyFont="1" applyBorder="1" applyAlignment="1" applyProtection="1">
      <alignment horizontal="center"/>
      <protection hidden="1"/>
    </xf>
    <xf numFmtId="49" fontId="0" fillId="0" borderId="93" xfId="42" applyNumberFormat="1" applyFont="1" applyBorder="1" applyAlignment="1" applyProtection="1">
      <alignment horizontal="center"/>
      <protection hidden="1"/>
    </xf>
    <xf numFmtId="0" fontId="5" fillId="0" borderId="93" xfId="0" applyFont="1" applyBorder="1" applyAlignment="1" applyProtection="1">
      <alignment/>
      <protection hidden="1"/>
    </xf>
    <xf numFmtId="0" fontId="0" fillId="0" borderId="93" xfId="0" applyFont="1" applyBorder="1" applyAlignment="1" applyProtection="1">
      <alignment horizontal="left"/>
      <protection hidden="1"/>
    </xf>
    <xf numFmtId="0" fontId="0" fillId="0" borderId="93" xfId="0" applyFont="1" applyBorder="1" applyAlignment="1" applyProtection="1">
      <alignment horizontal="left" wrapText="1"/>
      <protection hidden="1"/>
    </xf>
    <xf numFmtId="49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1" fontId="0" fillId="0" borderId="93" xfId="0" applyNumberFormat="1" applyFont="1" applyBorder="1" applyAlignment="1" applyProtection="1">
      <alignment horizontal="center"/>
      <protection hidden="1"/>
    </xf>
    <xf numFmtId="0" fontId="0" fillId="0" borderId="93" xfId="0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0" fillId="44" borderId="0" xfId="0" applyFont="1" applyFill="1" applyBorder="1" applyAlignment="1" applyProtection="1">
      <alignment/>
      <protection hidden="1"/>
    </xf>
    <xf numFmtId="4" fontId="0" fillId="0" borderId="93" xfId="0" applyNumberFormat="1" applyFont="1" applyBorder="1" applyAlignment="1" applyProtection="1">
      <alignment/>
      <protection hidden="1"/>
    </xf>
    <xf numFmtId="49" fontId="5" fillId="0" borderId="93" xfId="0" applyNumberFormat="1" applyFont="1" applyBorder="1" applyAlignment="1" applyProtection="1">
      <alignment horizontal="center"/>
      <protection hidden="1"/>
    </xf>
    <xf numFmtId="1" fontId="30" fillId="0" borderId="93" xfId="0" applyNumberFormat="1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27" fillId="0" borderId="93" xfId="0" applyFont="1" applyBorder="1" applyAlignment="1" applyProtection="1">
      <alignment wrapText="1"/>
      <protection hidden="1"/>
    </xf>
    <xf numFmtId="0" fontId="32" fillId="0" borderId="93" xfId="0" applyFont="1" applyBorder="1" applyAlignment="1" applyProtection="1">
      <alignment horizontal="center" wrapText="1"/>
      <protection hidden="1"/>
    </xf>
    <xf numFmtId="0" fontId="27" fillId="0" borderId="93" xfId="0" applyFont="1" applyBorder="1" applyAlignment="1" applyProtection="1">
      <alignment/>
      <protection hidden="1"/>
    </xf>
    <xf numFmtId="0" fontId="23" fillId="0" borderId="93" xfId="0" applyFont="1" applyBorder="1" applyAlignment="1" applyProtection="1">
      <alignment/>
      <protection hidden="1"/>
    </xf>
    <xf numFmtId="0" fontId="30" fillId="0" borderId="93" xfId="0" applyFont="1" applyBorder="1" applyAlignment="1" applyProtection="1">
      <alignment/>
      <protection hidden="1"/>
    </xf>
    <xf numFmtId="0" fontId="0" fillId="0" borderId="93" xfId="0" applyFont="1" applyBorder="1" applyAlignment="1" applyProtection="1">
      <alignment wrapText="1"/>
      <protection hidden="1"/>
    </xf>
    <xf numFmtId="2" fontId="0" fillId="0" borderId="93" xfId="0" applyNumberFormat="1" applyFont="1" applyBorder="1" applyAlignment="1" applyProtection="1">
      <alignment/>
      <protection hidden="1"/>
    </xf>
    <xf numFmtId="0" fontId="0" fillId="0" borderId="93" xfId="0" applyFont="1" applyBorder="1" applyAlignment="1">
      <alignment/>
    </xf>
    <xf numFmtId="3" fontId="27" fillId="0" borderId="93" xfId="0" applyNumberFormat="1" applyFont="1" applyBorder="1" applyAlignment="1" applyProtection="1">
      <alignment/>
      <protection hidden="1"/>
    </xf>
    <xf numFmtId="0" fontId="22" fillId="0" borderId="93" xfId="0" applyFont="1" applyBorder="1" applyAlignment="1" applyProtection="1">
      <alignment wrapText="1"/>
      <protection hidden="1"/>
    </xf>
    <xf numFmtId="0" fontId="22" fillId="0" borderId="93" xfId="0" applyFont="1" applyBorder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0" fillId="44" borderId="93" xfId="0" applyFont="1" applyFill="1" applyBorder="1" applyAlignment="1" applyProtection="1">
      <alignment/>
      <protection hidden="1"/>
    </xf>
    <xf numFmtId="3" fontId="0" fillId="43" borderId="93" xfId="0" applyNumberFormat="1" applyFont="1" applyFill="1" applyBorder="1" applyAlignment="1" applyProtection="1">
      <alignment/>
      <protection hidden="1"/>
    </xf>
    <xf numFmtId="0" fontId="29" fillId="0" borderId="99" xfId="0" applyFont="1" applyBorder="1" applyAlignment="1" applyProtection="1">
      <alignment horizontal="center"/>
      <protection hidden="1" locked="0"/>
    </xf>
    <xf numFmtId="0" fontId="29" fillId="0" borderId="0" xfId="0" applyFont="1" applyAlignment="1" applyProtection="1">
      <alignment horizontal="center"/>
      <protection hidden="1" locked="0"/>
    </xf>
    <xf numFmtId="0" fontId="29" fillId="0" borderId="0" xfId="0" applyFont="1" applyAlignment="1" applyProtection="1">
      <alignment horizontal="center"/>
      <protection hidden="1"/>
    </xf>
    <xf numFmtId="0" fontId="30" fillId="0" borderId="100" xfId="0" applyFont="1" applyBorder="1" applyAlignment="1" applyProtection="1">
      <alignment/>
      <protection hidden="1"/>
    </xf>
    <xf numFmtId="0" fontId="30" fillId="0" borderId="100" xfId="0" applyFont="1" applyBorder="1" applyAlignment="1" applyProtection="1">
      <alignment horizontal="center"/>
      <protection hidden="1"/>
    </xf>
    <xf numFmtId="37" fontId="32" fillId="37" borderId="71" xfId="0" applyNumberFormat="1" applyFont="1" applyFill="1" applyBorder="1" applyAlignment="1" applyProtection="1">
      <alignment horizontal="centerContinuous" vertical="center"/>
      <protection hidden="1"/>
    </xf>
    <xf numFmtId="37" fontId="30" fillId="37" borderId="72" xfId="0" applyNumberFormat="1" applyFont="1" applyFill="1" applyBorder="1" applyAlignment="1" applyProtection="1">
      <alignment horizontal="centerContinuous"/>
      <protection hidden="1"/>
    </xf>
    <xf numFmtId="37" fontId="30" fillId="37" borderId="75" xfId="0" applyNumberFormat="1" applyFont="1" applyFill="1" applyBorder="1" applyAlignment="1" applyProtection="1">
      <alignment horizontal="centerContinuous"/>
      <protection hidden="1"/>
    </xf>
    <xf numFmtId="37" fontId="30" fillId="0" borderId="0" xfId="0" applyNumberFormat="1" applyFont="1" applyAlignment="1" applyProtection="1">
      <alignment/>
      <protection hidden="1"/>
    </xf>
    <xf numFmtId="37" fontId="32" fillId="34" borderId="63" xfId="0" applyNumberFormat="1" applyFont="1" applyFill="1" applyBorder="1" applyAlignment="1" applyProtection="1">
      <alignment horizontal="centerContinuous" vertical="center"/>
      <protection hidden="1"/>
    </xf>
    <xf numFmtId="37" fontId="32" fillId="34" borderId="64" xfId="0" applyNumberFormat="1" applyFont="1" applyFill="1" applyBorder="1" applyAlignment="1" applyProtection="1">
      <alignment horizontal="left" vertical="center"/>
      <protection hidden="1"/>
    </xf>
    <xf numFmtId="37" fontId="32" fillId="34" borderId="66" xfId="0" applyNumberFormat="1" applyFont="1" applyFill="1" applyBorder="1" applyAlignment="1" applyProtection="1">
      <alignment horizontal="centerContinuous" vertical="center"/>
      <protection hidden="1"/>
    </xf>
    <xf numFmtId="37" fontId="32" fillId="0" borderId="63" xfId="0" applyNumberFormat="1" applyFont="1" applyBorder="1" applyAlignment="1" applyProtection="1">
      <alignment horizontal="center"/>
      <protection hidden="1"/>
    </xf>
    <xf numFmtId="37" fontId="32" fillId="0" borderId="64" xfId="0" applyNumberFormat="1" applyFont="1" applyBorder="1" applyAlignment="1" applyProtection="1">
      <alignment horizontal="center"/>
      <protection hidden="1"/>
    </xf>
    <xf numFmtId="37" fontId="32" fillId="0" borderId="66" xfId="0" applyNumberFormat="1" applyFont="1" applyBorder="1" applyAlignment="1" applyProtection="1">
      <alignment horizontal="center"/>
      <protection hidden="1"/>
    </xf>
    <xf numFmtId="37" fontId="30" fillId="0" borderId="63" xfId="0" applyNumberFormat="1" applyFont="1" applyBorder="1" applyAlignment="1" applyProtection="1">
      <alignment/>
      <protection locked="0"/>
    </xf>
    <xf numFmtId="37" fontId="30" fillId="0" borderId="64" xfId="0" applyNumberFormat="1" applyFont="1" applyBorder="1" applyAlignment="1" applyProtection="1">
      <alignment/>
      <protection locked="0"/>
    </xf>
    <xf numFmtId="37" fontId="30" fillId="0" borderId="66" xfId="0" applyNumberFormat="1" applyFont="1" applyBorder="1" applyAlignment="1" applyProtection="1">
      <alignment/>
      <protection hidden="1"/>
    </xf>
    <xf numFmtId="37" fontId="30" fillId="0" borderId="0" xfId="0" applyNumberFormat="1" applyFont="1" applyAlignment="1">
      <alignment/>
    </xf>
    <xf numFmtId="37" fontId="32" fillId="34" borderId="63" xfId="0" applyNumberFormat="1" applyFont="1" applyFill="1" applyBorder="1" applyAlignment="1" applyProtection="1">
      <alignment/>
      <protection hidden="1"/>
    </xf>
    <xf numFmtId="37" fontId="32" fillId="34" borderId="64" xfId="0" applyNumberFormat="1" applyFont="1" applyFill="1" applyBorder="1" applyAlignment="1" applyProtection="1">
      <alignment/>
      <protection hidden="1"/>
    </xf>
    <xf numFmtId="37" fontId="32" fillId="34" borderId="66" xfId="0" applyNumberFormat="1" applyFont="1" applyFill="1" applyBorder="1" applyAlignment="1" applyProtection="1">
      <alignment/>
      <protection hidden="1"/>
    </xf>
    <xf numFmtId="37" fontId="30" fillId="0" borderId="67" xfId="0" applyNumberFormat="1" applyFont="1" applyBorder="1" applyAlignment="1" applyProtection="1">
      <alignment/>
      <protection locked="0"/>
    </xf>
    <xf numFmtId="37" fontId="30" fillId="0" borderId="70" xfId="0" applyNumberFormat="1" applyFont="1" applyBorder="1" applyAlignment="1" applyProtection="1">
      <alignment/>
      <protection locked="0"/>
    </xf>
    <xf numFmtId="37" fontId="30" fillId="0" borderId="76" xfId="0" applyNumberFormat="1" applyFont="1" applyBorder="1" applyAlignment="1" applyProtection="1">
      <alignment/>
      <protection hidden="1"/>
    </xf>
    <xf numFmtId="37" fontId="30" fillId="0" borderId="0" xfId="0" applyNumberFormat="1" applyFont="1" applyBorder="1" applyAlignment="1">
      <alignment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75" xfId="0" applyFont="1" applyBorder="1" applyAlignment="1" applyProtection="1">
      <alignment horizontal="center"/>
      <protection hidden="1"/>
    </xf>
    <xf numFmtId="37" fontId="30" fillId="37" borderId="101" xfId="0" applyNumberFormat="1" applyFont="1" applyFill="1" applyBorder="1" applyAlignment="1" applyProtection="1">
      <alignment horizontal="centerContinuous"/>
      <protection hidden="1"/>
    </xf>
    <xf numFmtId="37" fontId="32" fillId="34" borderId="102" xfId="0" applyNumberFormat="1" applyFont="1" applyFill="1" applyBorder="1" applyAlignment="1" applyProtection="1">
      <alignment horizontal="centerContinuous" vertical="center"/>
      <protection hidden="1"/>
    </xf>
    <xf numFmtId="37" fontId="32" fillId="0" borderId="103" xfId="0" applyNumberFormat="1" applyFont="1" applyBorder="1" applyAlignment="1" applyProtection="1">
      <alignment horizontal="center"/>
      <protection hidden="1"/>
    </xf>
    <xf numFmtId="37" fontId="32" fillId="34" borderId="73" xfId="0" applyNumberFormat="1" applyFont="1" applyFill="1" applyBorder="1" applyAlignment="1" applyProtection="1">
      <alignment/>
      <protection hidden="1"/>
    </xf>
    <xf numFmtId="37" fontId="32" fillId="34" borderId="104" xfId="0" applyNumberFormat="1" applyFont="1" applyFill="1" applyBorder="1" applyAlignment="1" applyProtection="1">
      <alignment/>
      <protection hidden="1"/>
    </xf>
    <xf numFmtId="37" fontId="30" fillId="0" borderId="104" xfId="0" applyNumberFormat="1" applyFont="1" applyBorder="1" applyAlignment="1" applyProtection="1">
      <alignment/>
      <protection locked="0"/>
    </xf>
    <xf numFmtId="49" fontId="0" fillId="0" borderId="63" xfId="0" applyNumberFormat="1" applyFont="1" applyBorder="1" applyAlignment="1" applyProtection="1">
      <alignment horizontal="center" wrapText="1"/>
      <protection hidden="1"/>
    </xf>
    <xf numFmtId="49" fontId="30" fillId="0" borderId="76" xfId="0" applyNumberFormat="1" applyFont="1" applyBorder="1" applyAlignment="1" applyProtection="1">
      <alignment horizontal="center"/>
      <protection hidden="1"/>
    </xf>
    <xf numFmtId="37" fontId="30" fillId="0" borderId="105" xfId="0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27" fillId="0" borderId="71" xfId="0" applyFont="1" applyBorder="1" applyAlignment="1" applyProtection="1">
      <alignment/>
      <protection hidden="1"/>
    </xf>
    <xf numFmtId="0" fontId="32" fillId="0" borderId="106" xfId="0" applyFont="1" applyBorder="1" applyAlignment="1" applyProtection="1">
      <alignment horizontal="center"/>
      <protection hidden="1"/>
    </xf>
    <xf numFmtId="37" fontId="32" fillId="0" borderId="0" xfId="0" applyNumberFormat="1" applyFont="1" applyAlignment="1">
      <alignment/>
    </xf>
    <xf numFmtId="37" fontId="37" fillId="0" borderId="0" xfId="0" applyNumberFormat="1" applyFont="1" applyAlignment="1">
      <alignment/>
    </xf>
    <xf numFmtId="0" fontId="30" fillId="0" borderId="73" xfId="0" applyFont="1" applyBorder="1" applyAlignment="1" applyProtection="1">
      <alignment horizontal="center"/>
      <protection hidden="1"/>
    </xf>
    <xf numFmtId="0" fontId="30" fillId="0" borderId="104" xfId="0" applyFont="1" applyBorder="1" applyAlignment="1" applyProtection="1">
      <alignment horizontal="center"/>
      <protection hidden="1"/>
    </xf>
    <xf numFmtId="37" fontId="30" fillId="0" borderId="107" xfId="0" applyNumberFormat="1" applyFont="1" applyBorder="1" applyAlignment="1">
      <alignment/>
    </xf>
    <xf numFmtId="37" fontId="30" fillId="34" borderId="107" xfId="0" applyNumberFormat="1" applyFont="1" applyFill="1" applyBorder="1" applyAlignment="1" applyProtection="1">
      <alignment/>
      <protection hidden="1"/>
    </xf>
    <xf numFmtId="37" fontId="30" fillId="45" borderId="107" xfId="0" applyNumberFormat="1" applyFont="1" applyFill="1" applyBorder="1" applyAlignment="1">
      <alignment/>
    </xf>
    <xf numFmtId="37" fontId="30" fillId="34" borderId="107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30" fillId="34" borderId="108" xfId="0" applyNumberFormat="1" applyFont="1" applyFill="1" applyBorder="1" applyAlignment="1" applyProtection="1">
      <alignment/>
      <protection hidden="1"/>
    </xf>
    <xf numFmtId="37" fontId="30" fillId="34" borderId="109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28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44" borderId="0" xfId="0" applyFont="1" applyFill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 locked="0"/>
    </xf>
    <xf numFmtId="0" fontId="0" fillId="0" borderId="98" xfId="0" applyFont="1" applyBorder="1" applyAlignment="1" applyProtection="1">
      <alignment/>
      <protection hidden="1"/>
    </xf>
    <xf numFmtId="1" fontId="0" fillId="0" borderId="98" xfId="0" applyNumberFormat="1" applyFont="1" applyBorder="1" applyAlignment="1" applyProtection="1">
      <alignment/>
      <protection hidden="1"/>
    </xf>
    <xf numFmtId="0" fontId="5" fillId="0" borderId="98" xfId="0" applyFont="1" applyBorder="1" applyAlignment="1" applyProtection="1">
      <alignment vertical="center"/>
      <protection hidden="1"/>
    </xf>
    <xf numFmtId="0" fontId="5" fillId="0" borderId="98" xfId="0" applyFont="1" applyBorder="1" applyAlignment="1" applyProtection="1">
      <alignment horizontal="center" vertical="center"/>
      <protection hidden="1"/>
    </xf>
    <xf numFmtId="0" fontId="0" fillId="0" borderId="98" xfId="0" applyFont="1" applyBorder="1" applyAlignment="1" applyProtection="1">
      <alignment horizontal="center" vertical="center"/>
      <protection hidden="1"/>
    </xf>
    <xf numFmtId="3" fontId="0" fillId="0" borderId="98" xfId="0" applyNumberFormat="1" applyFont="1" applyBorder="1" applyAlignment="1" applyProtection="1">
      <alignment/>
      <protection hidden="1"/>
    </xf>
    <xf numFmtId="0" fontId="5" fillId="0" borderId="98" xfId="0" applyFont="1" applyBorder="1" applyAlignment="1" applyProtection="1">
      <alignment horizontal="center"/>
      <protection hidden="1"/>
    </xf>
    <xf numFmtId="0" fontId="0" fillId="0" borderId="98" xfId="0" applyFont="1" applyBorder="1" applyAlignment="1" applyProtection="1">
      <alignment horizontal="center"/>
      <protection hidden="1"/>
    </xf>
    <xf numFmtId="49" fontId="0" fillId="0" borderId="98" xfId="42" applyNumberFormat="1" applyFont="1" applyBorder="1" applyAlignment="1" applyProtection="1">
      <alignment horizontal="center"/>
      <protection hidden="1"/>
    </xf>
    <xf numFmtId="0" fontId="5" fillId="0" borderId="98" xfId="0" applyFont="1" applyBorder="1" applyAlignment="1" applyProtection="1">
      <alignment/>
      <protection hidden="1"/>
    </xf>
    <xf numFmtId="49" fontId="0" fillId="0" borderId="98" xfId="0" applyNumberFormat="1" applyFont="1" applyBorder="1" applyAlignment="1" applyProtection="1">
      <alignment horizontal="center"/>
      <protection hidden="1"/>
    </xf>
    <xf numFmtId="0" fontId="5" fillId="0" borderId="98" xfId="0" applyFont="1" applyBorder="1" applyAlignment="1" applyProtection="1">
      <alignment horizontal="left"/>
      <protection hidden="1"/>
    </xf>
    <xf numFmtId="0" fontId="0" fillId="0" borderId="98" xfId="0" applyFont="1" applyBorder="1" applyAlignment="1" applyProtection="1">
      <alignment horizontal="left"/>
      <protection hidden="1"/>
    </xf>
    <xf numFmtId="49" fontId="30" fillId="0" borderId="98" xfId="0" applyNumberFormat="1" applyFont="1" applyBorder="1" applyAlignment="1" applyProtection="1">
      <alignment horizontal="center"/>
      <protection hidden="1"/>
    </xf>
    <xf numFmtId="49" fontId="32" fillId="0" borderId="98" xfId="0" applyNumberFormat="1" applyFont="1" applyBorder="1" applyAlignment="1" applyProtection="1">
      <alignment horizontal="center"/>
      <protection hidden="1"/>
    </xf>
    <xf numFmtId="0" fontId="5" fillId="0" borderId="98" xfId="0" applyFont="1" applyBorder="1" applyAlignment="1" applyProtection="1">
      <alignment wrapText="1"/>
      <protection hidden="1"/>
    </xf>
    <xf numFmtId="49" fontId="0" fillId="0" borderId="98" xfId="0" applyNumberFormat="1" applyFont="1" applyBorder="1" applyAlignment="1" applyProtection="1">
      <alignment horizontal="center" wrapText="1"/>
      <protection hidden="1"/>
    </xf>
    <xf numFmtId="0" fontId="27" fillId="0" borderId="98" xfId="0" applyFont="1" applyBorder="1" applyAlignment="1" applyProtection="1">
      <alignment/>
      <protection hidden="1"/>
    </xf>
    <xf numFmtId="0" fontId="30" fillId="0" borderId="98" xfId="0" applyFont="1" applyBorder="1" applyAlignment="1" applyProtection="1">
      <alignment horizontal="center"/>
      <protection hidden="1"/>
    </xf>
    <xf numFmtId="49" fontId="0" fillId="0" borderId="98" xfId="0" applyNumberFormat="1" applyFont="1" applyBorder="1" applyAlignment="1" applyProtection="1">
      <alignment/>
      <protection hidden="1"/>
    </xf>
    <xf numFmtId="0" fontId="23" fillId="0" borderId="98" xfId="0" applyFont="1" applyBorder="1" applyAlignment="1" applyProtection="1">
      <alignment/>
      <protection hidden="1"/>
    </xf>
    <xf numFmtId="0" fontId="30" fillId="0" borderId="98" xfId="0" applyFont="1" applyBorder="1" applyAlignment="1" applyProtection="1">
      <alignment/>
      <protection hidden="1"/>
    </xf>
    <xf numFmtId="0" fontId="0" fillId="0" borderId="98" xfId="0" applyFont="1" applyBorder="1" applyAlignment="1">
      <alignment/>
    </xf>
    <xf numFmtId="3" fontId="27" fillId="0" borderId="98" xfId="0" applyNumberFormat="1" applyFont="1" applyBorder="1" applyAlignment="1" applyProtection="1">
      <alignment/>
      <protection hidden="1"/>
    </xf>
    <xf numFmtId="0" fontId="22" fillId="0" borderId="98" xfId="0" applyFont="1" applyBorder="1" applyAlignment="1" applyProtection="1">
      <alignment/>
      <protection hidden="1"/>
    </xf>
    <xf numFmtId="0" fontId="36" fillId="0" borderId="98" xfId="0" applyFont="1" applyBorder="1" applyAlignment="1" applyProtection="1">
      <alignment/>
      <protection hidden="1"/>
    </xf>
    <xf numFmtId="3" fontId="0" fillId="43" borderId="98" xfId="0" applyNumberFormat="1" applyFont="1" applyFill="1" applyBorder="1" applyAlignment="1" applyProtection="1">
      <alignment/>
      <protection hidden="1"/>
    </xf>
    <xf numFmtId="4" fontId="0" fillId="0" borderId="98" xfId="0" applyNumberFormat="1" applyFont="1" applyBorder="1" applyAlignment="1" applyProtection="1">
      <alignment/>
      <protection hidden="1"/>
    </xf>
    <xf numFmtId="9" fontId="0" fillId="0" borderId="98" xfId="59" applyFont="1" applyBorder="1" applyAlignment="1" applyProtection="1">
      <alignment/>
      <protection hidden="1"/>
    </xf>
    <xf numFmtId="191" fontId="0" fillId="0" borderId="98" xfId="0" applyNumberFormat="1" applyFont="1" applyBorder="1" applyAlignment="1" applyProtection="1">
      <alignment/>
      <protection hidden="1"/>
    </xf>
    <xf numFmtId="3" fontId="0" fillId="0" borderId="98" xfId="0" applyNumberFormat="1" applyFont="1" applyBorder="1" applyAlignment="1">
      <alignment/>
    </xf>
    <xf numFmtId="10" fontId="0" fillId="0" borderId="98" xfId="59" applyNumberFormat="1" applyFont="1" applyBorder="1" applyAlignment="1" applyProtection="1">
      <alignment/>
      <protection hidden="1"/>
    </xf>
    <xf numFmtId="2" fontId="0" fillId="0" borderId="98" xfId="59" applyNumberFormat="1" applyFont="1" applyBorder="1" applyAlignment="1" applyProtection="1">
      <alignment/>
      <protection hidden="1"/>
    </xf>
    <xf numFmtId="2" fontId="0" fillId="0" borderId="98" xfId="0" applyNumberFormat="1" applyFont="1" applyBorder="1" applyAlignment="1" applyProtection="1">
      <alignment/>
      <protection hidden="1"/>
    </xf>
    <xf numFmtId="10" fontId="0" fillId="0" borderId="98" xfId="59" applyNumberFormat="1" applyFont="1" applyBorder="1" applyAlignment="1">
      <alignment/>
    </xf>
    <xf numFmtId="4" fontId="0" fillId="0" borderId="0" xfId="0" applyNumberFormat="1" applyFont="1" applyBorder="1" applyAlignment="1" applyProtection="1">
      <alignment/>
      <protection hidden="1"/>
    </xf>
    <xf numFmtId="0" fontId="11" fillId="0" borderId="93" xfId="0" applyFont="1" applyBorder="1" applyAlignment="1" applyProtection="1">
      <alignment/>
      <protection hidden="1"/>
    </xf>
    <xf numFmtId="37" fontId="30" fillId="0" borderId="0" xfId="0" applyNumberFormat="1" applyFont="1" applyAlignment="1">
      <alignment horizontal="centerContinuous"/>
    </xf>
    <xf numFmtId="37" fontId="38" fillId="0" borderId="0" xfId="0" applyNumberFormat="1" applyFont="1" applyAlignment="1">
      <alignment/>
    </xf>
    <xf numFmtId="37" fontId="32" fillId="0" borderId="0" xfId="0" applyNumberFormat="1" applyFont="1" applyAlignment="1">
      <alignment horizontal="centerContinuous"/>
    </xf>
    <xf numFmtId="37" fontId="30" fillId="0" borderId="11" xfId="0" applyNumberFormat="1" applyFont="1" applyBorder="1" applyAlignment="1">
      <alignment/>
    </xf>
    <xf numFmtId="37" fontId="39" fillId="0" borderId="107" xfId="0" applyNumberFormat="1" applyFont="1" applyBorder="1" applyAlignment="1" applyProtection="1">
      <alignment horizontal="center"/>
      <protection hidden="1"/>
    </xf>
    <xf numFmtId="1" fontId="5" fillId="33" borderId="64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4" fillId="43" borderId="110" xfId="0" applyFont="1" applyFill="1" applyBorder="1" applyAlignment="1">
      <alignment horizontal="left"/>
    </xf>
    <xf numFmtId="0" fontId="4" fillId="43" borderId="111" xfId="0" applyFont="1" applyFill="1" applyBorder="1" applyAlignment="1">
      <alignment horizontal="left"/>
    </xf>
    <xf numFmtId="0" fontId="5" fillId="43" borderId="64" xfId="0" applyFont="1" applyFill="1" applyBorder="1" applyAlignment="1">
      <alignment horizontal="center"/>
    </xf>
    <xf numFmtId="9" fontId="3" fillId="43" borderId="0" xfId="59" applyFont="1" applyFill="1" applyAlignment="1">
      <alignment horizontal="center"/>
    </xf>
    <xf numFmtId="0" fontId="5" fillId="43" borderId="64" xfId="0" applyFont="1" applyFill="1" applyBorder="1" applyAlignment="1">
      <alignment horizontal="center" vertical="center"/>
    </xf>
    <xf numFmtId="0" fontId="4" fillId="43" borderId="6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2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emf" /><Relationship Id="rId8" Type="http://schemas.openxmlformats.org/officeDocument/2006/relationships/image" Target="../media/image8.wmf" /><Relationship Id="rId9" Type="http://schemas.openxmlformats.org/officeDocument/2006/relationships/image" Target="../media/image9.e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164</xdr:row>
      <xdr:rowOff>0</xdr:rowOff>
    </xdr:from>
    <xdr:to>
      <xdr:col>10</xdr:col>
      <xdr:colOff>0</xdr:colOff>
      <xdr:row>164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9936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10</xdr:col>
      <xdr:colOff>0</xdr:colOff>
      <xdr:row>164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9936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9</xdr:col>
      <xdr:colOff>219075</xdr:colOff>
      <xdr:row>164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49936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10</xdr:col>
      <xdr:colOff>0</xdr:colOff>
      <xdr:row>164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49936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164</xdr:row>
      <xdr:rowOff>0</xdr:rowOff>
    </xdr:from>
    <xdr:to>
      <xdr:col>10</xdr:col>
      <xdr:colOff>57150</xdr:colOff>
      <xdr:row>164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" y="249936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10</xdr:col>
      <xdr:colOff>0</xdr:colOff>
      <xdr:row>164</xdr:row>
      <xdr:rowOff>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249936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164</xdr:row>
      <xdr:rowOff>0</xdr:rowOff>
    </xdr:from>
    <xdr:to>
      <xdr:col>9</xdr:col>
      <xdr:colOff>0</xdr:colOff>
      <xdr:row>164</xdr:row>
      <xdr:rowOff>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14700" y="24993600"/>
          <a:ext cx="455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10</xdr:col>
      <xdr:colOff>0</xdr:colOff>
      <xdr:row>164</xdr:row>
      <xdr:rowOff>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249936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164</xdr:row>
      <xdr:rowOff>0</xdr:rowOff>
    </xdr:from>
    <xdr:to>
      <xdr:col>9</xdr:col>
      <xdr:colOff>219075</xdr:colOff>
      <xdr:row>164</xdr:row>
      <xdr:rowOff>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5325" y="24993600"/>
          <a:ext cx="7391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10</xdr:col>
      <xdr:colOff>0</xdr:colOff>
      <xdr:row>164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249936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164</xdr:row>
      <xdr:rowOff>0</xdr:rowOff>
    </xdr:from>
    <xdr:to>
      <xdr:col>10</xdr:col>
      <xdr:colOff>57150</xdr:colOff>
      <xdr:row>164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0" y="249936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cene\Devaluacija2001\Klub66\Lipro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cene\Grupa%2014\Procena%201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cene\Evaluacija\Drugi\Adriakop\adracoop.bu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azni"/>
      <sheetName val="Bilans"/>
      <sheetName val="Kratki"/>
      <sheetName val="GO"/>
      <sheetName val="GOOpis"/>
      <sheetName val="Oprema"/>
      <sheetName val="Zemlja"/>
      <sheetName val="Likvid"/>
      <sheetName val="Tekst"/>
    </sheetNames>
    <sheetDataSet>
      <sheetData sheetId="1">
        <row r="56">
          <cell r="G56">
            <v>40383.694565595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Ulaz"/>
      <sheetName val="Bilansi"/>
      <sheetName val="Radna "/>
      <sheetName val="P,R, BU"/>
      <sheetName val="Proj. sredstava"/>
      <sheetName val="PNT"/>
      <sheetName val="PB stanja"/>
      <sheetName val="DF"/>
      <sheetName val="DNT"/>
      <sheetName val="Tekst"/>
      <sheetName val="Likvid"/>
    </sheetNames>
    <sheetDataSet>
      <sheetData sheetId="2">
        <row r="19">
          <cell r="X19">
            <v>0</v>
          </cell>
        </row>
        <row r="22">
          <cell r="X22" t="e">
            <v>#DIV/0!</v>
          </cell>
        </row>
        <row r="23">
          <cell r="X2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i bilans"/>
      <sheetName val="Novi bilans"/>
      <sheetName val="Sreden bilans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7">
          <cell r="F7" t="str">
            <v>Neto</v>
          </cell>
          <cell r="J7" t="str">
            <v>Neto</v>
          </cell>
          <cell r="N7" t="str">
            <v>Neto</v>
          </cell>
        </row>
        <row r="68">
          <cell r="F68" t="str">
            <v>Neto</v>
          </cell>
          <cell r="J68" t="str">
            <v>Neto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2" customWidth="1"/>
    <col min="2" max="2" width="44.7109375" style="2" bestFit="1" customWidth="1"/>
    <col min="3" max="3" width="13.421875" style="2" bestFit="1" customWidth="1"/>
    <col min="4" max="4" width="12.8515625" style="2" bestFit="1" customWidth="1"/>
    <col min="5" max="5" width="10.140625" style="2" customWidth="1"/>
    <col min="6" max="6" width="9.57421875" style="2" bestFit="1" customWidth="1"/>
    <col min="7" max="8" width="9.140625" style="2" customWidth="1"/>
    <col min="9" max="9" width="15.00390625" style="2" customWidth="1"/>
    <col min="10" max="10" width="17.00390625" style="149" customWidth="1"/>
    <col min="11" max="11" width="9.140625" style="2" customWidth="1"/>
    <col min="12" max="12" width="12.7109375" style="2" bestFit="1" customWidth="1"/>
    <col min="13" max="16384" width="9.140625" style="2" customWidth="1"/>
  </cols>
  <sheetData>
    <row r="1" spans="2:10" ht="12.75">
      <c r="B1" s="2" t="s">
        <v>802</v>
      </c>
      <c r="I1" s="361" t="s">
        <v>224</v>
      </c>
      <c r="J1" s="362">
        <f>+Ulaz!F71*1000</f>
        <v>77921000</v>
      </c>
    </row>
    <row r="2" spans="2:10" ht="12.75">
      <c r="B2" s="33" t="s">
        <v>89</v>
      </c>
      <c r="C2" s="34">
        <v>0.02</v>
      </c>
      <c r="I2" s="2" t="s">
        <v>1199</v>
      </c>
      <c r="J2" s="149">
        <f>(+Ulaz!F61-Ulaz!F58-Ulaz!F91-Ulaz!F96-Ulaz!F115)*1000</f>
        <v>67101000</v>
      </c>
    </row>
    <row r="3" spans="2:10" ht="12.75">
      <c r="B3" s="14"/>
      <c r="C3" s="35"/>
      <c r="I3" s="361" t="s">
        <v>225</v>
      </c>
      <c r="J3" s="362">
        <f>+DNT!H13*1000</f>
        <v>26854971.080271795</v>
      </c>
    </row>
    <row r="4" spans="2:10" ht="12.75">
      <c r="B4" s="36" t="s">
        <v>90</v>
      </c>
      <c r="C4" s="37">
        <f>+(Bilansi!C113*1000)/('Radna '!D40*12)</f>
        <v>10678.698752228163</v>
      </c>
      <c r="D4" s="2" t="s">
        <v>339</v>
      </c>
      <c r="I4" s="361" t="s">
        <v>226</v>
      </c>
      <c r="J4" s="362">
        <f>+DNT!H38*1000</f>
        <v>36537536.66509597</v>
      </c>
    </row>
    <row r="5" spans="2:10" ht="13.5" thickBot="1">
      <c r="B5" s="14"/>
      <c r="C5" s="35"/>
      <c r="I5" s="361" t="s">
        <v>227</v>
      </c>
      <c r="J5" s="362">
        <f>+DNT!H26*1000</f>
        <v>21165618.070043392</v>
      </c>
    </row>
    <row r="6" spans="2:10" ht="14.25" thickBot="1" thickTop="1">
      <c r="B6" s="38" t="s">
        <v>296</v>
      </c>
      <c r="C6" s="39" t="s">
        <v>1400</v>
      </c>
      <c r="D6" s="39" t="s">
        <v>1401</v>
      </c>
      <c r="E6" s="39" t="s">
        <v>1402</v>
      </c>
      <c r="F6" s="39" t="s">
        <v>1403</v>
      </c>
      <c r="G6" s="39" t="s">
        <v>1404</v>
      </c>
      <c r="I6" s="361" t="s">
        <v>230</v>
      </c>
      <c r="J6" s="362">
        <f>+Bilansi!V59*1000</f>
        <v>19528551.040758044</v>
      </c>
    </row>
    <row r="7" spans="2:10" ht="14.25" thickBot="1" thickTop="1">
      <c r="B7" s="40" t="s">
        <v>259</v>
      </c>
      <c r="C7" s="41">
        <v>0.02</v>
      </c>
      <c r="D7" s="41">
        <v>0.02</v>
      </c>
      <c r="E7" s="41">
        <f>+D7*0.666666666666667</f>
        <v>0.013333333333333332</v>
      </c>
      <c r="F7" s="41">
        <f>+E7</f>
        <v>0.013333333333333332</v>
      </c>
      <c r="G7" s="41">
        <f>+F7</f>
        <v>0.013333333333333332</v>
      </c>
      <c r="I7" s="361" t="s">
        <v>228</v>
      </c>
      <c r="J7" s="362">
        <f>+J6*1.2</f>
        <v>23434261.248909652</v>
      </c>
    </row>
    <row r="8" spans="2:10" ht="14.25" thickBot="1" thickTop="1">
      <c r="B8" s="40" t="s">
        <v>91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I8" s="361" t="s">
        <v>229</v>
      </c>
      <c r="J8" s="362">
        <f>+J6/1.2</f>
        <v>16273792.533965036</v>
      </c>
    </row>
    <row r="9" spans="2:10" ht="14.25" thickBot="1" thickTop="1">
      <c r="B9" s="40" t="s">
        <v>92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I9" s="363" t="s">
        <v>182</v>
      </c>
      <c r="J9" s="364">
        <f>+J3</f>
        <v>26854971.080271795</v>
      </c>
    </row>
    <row r="10" spans="2:10" ht="14.25" thickBot="1" thickTop="1">
      <c r="B10" s="42"/>
      <c r="C10" s="43"/>
      <c r="D10" s="43"/>
      <c r="E10" s="43"/>
      <c r="F10" s="43"/>
      <c r="G10" s="43"/>
      <c r="I10" s="363" t="s">
        <v>183</v>
      </c>
      <c r="J10" s="364">
        <f>+J4</f>
        <v>36537536.66509597</v>
      </c>
    </row>
    <row r="11" spans="2:12" ht="14.25" thickBot="1" thickTop="1">
      <c r="B11" s="38" t="s">
        <v>297</v>
      </c>
      <c r="C11" s="39" t="s">
        <v>1400</v>
      </c>
      <c r="D11" s="39" t="s">
        <v>1401</v>
      </c>
      <c r="E11" s="39" t="s">
        <v>1402</v>
      </c>
      <c r="F11" s="39" t="s">
        <v>1403</v>
      </c>
      <c r="G11" s="39" t="s">
        <v>1404</v>
      </c>
      <c r="I11" s="363" t="s">
        <v>184</v>
      </c>
      <c r="J11" s="364">
        <f>+J5</f>
        <v>21165618.070043392</v>
      </c>
      <c r="L11" s="96">
        <f>+J13*0.5</f>
        <v>9764275.520379022</v>
      </c>
    </row>
    <row r="12" spans="2:12" ht="14.25" thickBot="1" thickTop="1">
      <c r="B12" s="40" t="s">
        <v>259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I12" s="363"/>
      <c r="J12" s="364"/>
      <c r="L12" s="96">
        <f>+J13</f>
        <v>19528551.040758044</v>
      </c>
    </row>
    <row r="13" spans="2:10" ht="14.25" thickBot="1" thickTop="1">
      <c r="B13" s="40" t="s">
        <v>93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I13" s="363" t="s">
        <v>185</v>
      </c>
      <c r="J13" s="364">
        <f>+J6</f>
        <v>19528551.040758044</v>
      </c>
    </row>
    <row r="14" spans="2:10" ht="13.5" thickTop="1">
      <c r="B14" s="42"/>
      <c r="C14" s="44"/>
      <c r="D14" s="44"/>
      <c r="E14" s="44"/>
      <c r="F14" s="44"/>
      <c r="G14" s="44"/>
      <c r="I14" s="365" t="s">
        <v>186</v>
      </c>
      <c r="J14" s="366">
        <f>IF(J13&gt;=J10,J13/1.2,J13)</f>
        <v>19528551.040758044</v>
      </c>
    </row>
    <row r="15" spans="2:10" ht="13.5" thickBot="1">
      <c r="B15" s="14"/>
      <c r="C15" s="35"/>
      <c r="I15" s="365"/>
      <c r="J15" s="366"/>
    </row>
    <row r="16" spans="2:10" ht="14.25" thickBot="1" thickTop="1">
      <c r="B16" s="45" t="s">
        <v>94</v>
      </c>
      <c r="C16" s="39" t="s">
        <v>1400</v>
      </c>
      <c r="D16" s="39" t="s">
        <v>1401</v>
      </c>
      <c r="E16" s="39" t="s">
        <v>1402</v>
      </c>
      <c r="F16" s="39" t="s">
        <v>1403</v>
      </c>
      <c r="G16" s="39" t="s">
        <v>1404</v>
      </c>
      <c r="I16" s="365"/>
      <c r="J16" s="366"/>
    </row>
    <row r="17" spans="2:10" ht="14.25" thickBot="1" thickTop="1">
      <c r="B17" s="46" t="s">
        <v>1328</v>
      </c>
      <c r="C17" s="47">
        <v>1</v>
      </c>
      <c r="D17" s="47">
        <v>0</v>
      </c>
      <c r="E17" s="47">
        <v>0</v>
      </c>
      <c r="F17" s="47">
        <v>0</v>
      </c>
      <c r="G17" s="47">
        <v>0</v>
      </c>
      <c r="I17" s="365"/>
      <c r="J17" s="366"/>
    </row>
    <row r="18" spans="9:10" ht="14.25" thickBot="1" thickTop="1">
      <c r="I18" s="365" t="s">
        <v>187</v>
      </c>
      <c r="J18" s="366">
        <f>IF(J11&gt;J13,J11,J14)</f>
        <v>21165618.070043392</v>
      </c>
    </row>
    <row r="19" spans="2:10" ht="14.25" thickBot="1" thickTop="1">
      <c r="B19" s="48" t="s">
        <v>99</v>
      </c>
      <c r="C19" s="39" t="s">
        <v>1400</v>
      </c>
      <c r="D19" s="39" t="s">
        <v>1401</v>
      </c>
      <c r="E19" s="39" t="s">
        <v>1402</v>
      </c>
      <c r="F19" s="39" t="s">
        <v>1403</v>
      </c>
      <c r="G19" s="39" t="s">
        <v>1404</v>
      </c>
      <c r="I19" s="365" t="s">
        <v>188</v>
      </c>
      <c r="J19" s="366">
        <f>IF(J10&gt;J13,J10,1.2*J13)</f>
        <v>36537536.66509597</v>
      </c>
    </row>
    <row r="20" spans="2:7" ht="14.25" thickBot="1" thickTop="1">
      <c r="B20" s="46" t="s">
        <v>1328</v>
      </c>
      <c r="C20" s="47">
        <v>1</v>
      </c>
      <c r="D20" s="47">
        <v>0</v>
      </c>
      <c r="E20" s="47">
        <v>0</v>
      </c>
      <c r="F20" s="47">
        <v>0</v>
      </c>
      <c r="G20" s="47">
        <v>0</v>
      </c>
    </row>
    <row r="21" ht="13.5" thickTop="1"/>
    <row r="22" ht="13.5" thickBot="1"/>
    <row r="23" spans="2:7" ht="14.25" thickBot="1" thickTop="1">
      <c r="B23" s="48" t="s">
        <v>95</v>
      </c>
      <c r="C23" s="39" t="s">
        <v>1400</v>
      </c>
      <c r="D23" s="39" t="s">
        <v>1401</v>
      </c>
      <c r="E23" s="39" t="s">
        <v>1402</v>
      </c>
      <c r="F23" s="39" t="s">
        <v>1403</v>
      </c>
      <c r="G23" s="39" t="s">
        <v>1404</v>
      </c>
    </row>
    <row r="24" spans="2:7" ht="14.25" thickBot="1" thickTop="1">
      <c r="B24" s="46" t="s">
        <v>1328</v>
      </c>
      <c r="C24" s="259">
        <v>1</v>
      </c>
      <c r="D24" s="259">
        <v>0.9</v>
      </c>
      <c r="E24" s="259">
        <v>0.8</v>
      </c>
      <c r="F24" s="259">
        <v>0.7</v>
      </c>
      <c r="G24" s="259">
        <v>0.6</v>
      </c>
    </row>
    <row r="25" ht="14.25" thickBot="1" thickTop="1"/>
    <row r="26" spans="2:7" ht="12.75">
      <c r="B26" s="260"/>
      <c r="C26" s="261"/>
      <c r="D26" s="261"/>
      <c r="E26" s="261"/>
      <c r="F26" s="261"/>
      <c r="G26" s="262">
        <f>+Bilansi!C115</f>
        <v>8293</v>
      </c>
    </row>
    <row r="27" spans="2:7" ht="12.75">
      <c r="B27" s="263" t="s">
        <v>304</v>
      </c>
      <c r="C27" s="264"/>
      <c r="D27" s="265" t="s">
        <v>98</v>
      </c>
      <c r="E27" s="265" t="s">
        <v>306</v>
      </c>
      <c r="F27" s="266"/>
      <c r="G27" s="267">
        <f>+C28*Bilansi!C28</f>
        <v>79.93969580018334</v>
      </c>
    </row>
    <row r="28" spans="2:7" ht="12.75">
      <c r="B28" s="268" t="s">
        <v>1328</v>
      </c>
      <c r="C28" s="269">
        <f>3*F28%</f>
        <v>0.00750677958495477</v>
      </c>
      <c r="D28" s="161">
        <f>+Bilansi!C28-(+Bilansi!C28*C28)</f>
        <v>10569.060304199817</v>
      </c>
      <c r="E28" s="270">
        <f>100%-C28</f>
        <v>0.9924932204150452</v>
      </c>
      <c r="F28" s="271">
        <f>+Bilansi!C24/Bilansi!C25</f>
        <v>0.250225986165159</v>
      </c>
      <c r="G28" s="272"/>
    </row>
    <row r="29" spans="2:7" ht="13.5" thickBot="1">
      <c r="B29" s="273"/>
      <c r="C29" s="274"/>
      <c r="D29" s="275"/>
      <c r="E29" s="275"/>
      <c r="F29" s="275"/>
      <c r="G29" s="276"/>
    </row>
    <row r="30" spans="2:10" ht="13.5" thickTop="1">
      <c r="B30" s="277" t="s">
        <v>305</v>
      </c>
      <c r="C30" s="278"/>
      <c r="D30" s="279" t="s">
        <v>322</v>
      </c>
      <c r="E30" s="279" t="s">
        <v>306</v>
      </c>
      <c r="F30" s="280">
        <v>1</v>
      </c>
      <c r="G30" s="280">
        <v>2</v>
      </c>
      <c r="H30" s="280">
        <v>3</v>
      </c>
      <c r="I30" s="280">
        <v>4</v>
      </c>
      <c r="J30" s="297">
        <v>5</v>
      </c>
    </row>
    <row r="31" spans="2:10" ht="12.75">
      <c r="B31" s="281" t="s">
        <v>1328</v>
      </c>
      <c r="C31" s="269">
        <v>0.2</v>
      </c>
      <c r="D31" s="161">
        <f>+Bilansi!C21-(+Bilansi!C21*C31)</f>
        <v>0</v>
      </c>
      <c r="E31" s="270">
        <f>100%-C31</f>
        <v>0.8</v>
      </c>
      <c r="F31" s="299" t="e">
        <f>+Bilansi!C21/Bilansi!C22</f>
        <v>#DIV/0!</v>
      </c>
      <c r="G31" s="266" t="e">
        <f>+F31-F32</f>
        <v>#DIV/0!</v>
      </c>
      <c r="H31" s="266" t="e">
        <f>+G31-G32</f>
        <v>#DIV/0!</v>
      </c>
      <c r="I31" s="266" t="e">
        <f>+H31-H32</f>
        <v>#DIV/0!</v>
      </c>
      <c r="J31" s="266" t="e">
        <f>+I31-I32</f>
        <v>#DIV/0!</v>
      </c>
    </row>
    <row r="32" spans="2:10" ht="13.5" thickBot="1">
      <c r="B32" s="282"/>
      <c r="C32" s="283"/>
      <c r="D32" s="284"/>
      <c r="E32" s="284"/>
      <c r="F32" s="284" t="e">
        <f>IF(F31&gt;C31,C31,F31)</f>
        <v>#DIV/0!</v>
      </c>
      <c r="G32" s="284" t="e">
        <f>IF(G31&gt;C31,C31,G31)</f>
        <v>#DIV/0!</v>
      </c>
      <c r="H32" s="284" t="e">
        <f>IF(H31&gt;C31,C31,H31)</f>
        <v>#DIV/0!</v>
      </c>
      <c r="I32" s="284" t="e">
        <f>IF(I31&gt;C31,C31,I31)</f>
        <v>#DIV/0!</v>
      </c>
      <c r="J32" s="298" t="e">
        <f>IF(J31&gt;C31,C31,J31)</f>
        <v>#DIV/0!</v>
      </c>
    </row>
    <row r="33" spans="2:7" ht="13.5" thickTop="1">
      <c r="B33" s="285" t="s">
        <v>1273</v>
      </c>
      <c r="C33" s="286"/>
      <c r="D33" s="287" t="s">
        <v>303</v>
      </c>
      <c r="E33" s="287" t="s">
        <v>306</v>
      </c>
      <c r="F33" s="288"/>
      <c r="G33" s="289"/>
    </row>
    <row r="34" spans="2:7" ht="13.5" thickBot="1">
      <c r="B34" s="290" t="s">
        <v>1328</v>
      </c>
      <c r="C34" s="291">
        <f>+G34/Bilansi!C31</f>
        <v>0.0652544874878821</v>
      </c>
      <c r="D34" s="292">
        <f>+Bilansi!C31-(+Bilansi!C31*C34)</f>
        <v>117648.93969580019</v>
      </c>
      <c r="E34" s="293">
        <f>100%-C34</f>
        <v>0.9347455125121179</v>
      </c>
      <c r="F34" s="294">
        <f>+Bilansi!C30/Bilansi!C31</f>
        <v>0.13751569178942016</v>
      </c>
      <c r="G34" s="295">
        <f>+G26-G27</f>
        <v>8213.060304199817</v>
      </c>
    </row>
    <row r="37" ht="13.5" thickBot="1">
      <c r="B37" s="3" t="s">
        <v>96</v>
      </c>
    </row>
    <row r="38" spans="2:3" ht="14.25" thickBot="1" thickTop="1">
      <c r="B38" s="48"/>
      <c r="C38" s="39"/>
    </row>
    <row r="39" spans="2:3" ht="14.25" thickBot="1" thickTop="1">
      <c r="B39" s="40" t="s">
        <v>86</v>
      </c>
      <c r="C39" s="296">
        <v>0.01</v>
      </c>
    </row>
    <row r="40" spans="2:3" ht="14.25" thickBot="1" thickTop="1">
      <c r="B40" s="40" t="s">
        <v>87</v>
      </c>
      <c r="C40" s="296">
        <v>0.09</v>
      </c>
    </row>
    <row r="41" spans="2:3" ht="14.25" thickBot="1" thickTop="1">
      <c r="B41" s="40" t="s">
        <v>88</v>
      </c>
      <c r="C41" s="296">
        <v>0.07</v>
      </c>
    </row>
    <row r="42" ht="13.5" thickTop="1"/>
    <row r="43" ht="13.5" thickBot="1">
      <c r="B43" s="3" t="s">
        <v>97</v>
      </c>
    </row>
    <row r="44" spans="2:3" ht="14.25" thickBot="1" thickTop="1">
      <c r="B44" s="48"/>
      <c r="C44" s="39"/>
    </row>
    <row r="45" spans="2:3" ht="14.25" thickBot="1" thickTop="1">
      <c r="B45" s="40" t="s">
        <v>97</v>
      </c>
      <c r="C45" s="296">
        <f>+C2</f>
        <v>0.02</v>
      </c>
    </row>
    <row r="46" ht="13.5" thickTop="1"/>
    <row r="47" ht="13.5" thickBot="1">
      <c r="B47" s="3" t="s">
        <v>1489</v>
      </c>
    </row>
    <row r="48" spans="2:3" ht="14.25" thickBot="1" thickTop="1">
      <c r="B48" s="48"/>
      <c r="C48" s="39"/>
    </row>
    <row r="49" spans="2:3" ht="14.25" thickBot="1" thickTop="1">
      <c r="B49" s="40" t="s">
        <v>341</v>
      </c>
      <c r="C49" s="50">
        <v>1.05</v>
      </c>
    </row>
    <row r="50" ht="14.25" thickBot="1" thickTop="1"/>
    <row r="51" spans="2:7" ht="14.25" thickBot="1" thickTop="1">
      <c r="B51" s="48" t="s">
        <v>1274</v>
      </c>
      <c r="C51" s="39" t="s">
        <v>1400</v>
      </c>
      <c r="D51" s="39" t="s">
        <v>1401</v>
      </c>
      <c r="E51" s="39" t="s">
        <v>1402</v>
      </c>
      <c r="F51" s="39" t="s">
        <v>1403</v>
      </c>
      <c r="G51" s="39" t="s">
        <v>1404</v>
      </c>
    </row>
    <row r="52" spans="2:7" ht="14.25" thickBot="1" thickTop="1">
      <c r="B52" s="46" t="s">
        <v>1277</v>
      </c>
      <c r="C52" s="49">
        <v>67</v>
      </c>
      <c r="D52" s="49">
        <f>+C52*(1+D7)</f>
        <v>68.34</v>
      </c>
      <c r="E52" s="49">
        <f>+D52*(1+E7)</f>
        <v>69.25120000000001</v>
      </c>
      <c r="F52" s="49">
        <f>+E52*(1+F7)</f>
        <v>70.17454933333335</v>
      </c>
      <c r="G52" s="49">
        <f>+F52*(1+G7)</f>
        <v>71.11020999111113</v>
      </c>
    </row>
    <row r="53" ht="13.5" thickTop="1"/>
  </sheetData>
  <sheetProtection/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N139"/>
  <sheetViews>
    <sheetView zoomScalePageLayoutView="0" workbookViewId="0" topLeftCell="A43">
      <selection activeCell="C57" sqref="C57"/>
    </sheetView>
  </sheetViews>
  <sheetFormatPr defaultColWidth="9.140625" defaultRowHeight="12.75"/>
  <cols>
    <col min="1" max="1" width="9.140625" style="2" customWidth="1"/>
    <col min="2" max="2" width="29.8515625" style="2" customWidth="1"/>
    <col min="3" max="16384" width="9.140625" style="2" customWidth="1"/>
  </cols>
  <sheetData>
    <row r="2" ht="13.5" thickBot="1"/>
    <row r="3" spans="2:8" ht="13.5" thickTop="1">
      <c r="B3" s="51" t="s">
        <v>1441</v>
      </c>
      <c r="C3" s="51" t="s">
        <v>253</v>
      </c>
      <c r="D3" s="994" t="s">
        <v>1453</v>
      </c>
      <c r="E3" s="994"/>
      <c r="F3" s="994"/>
      <c r="G3" s="994"/>
      <c r="H3" s="994"/>
    </row>
    <row r="4" spans="2:8" ht="13.5" thickBot="1">
      <c r="B4" s="17"/>
      <c r="C4" s="99" t="s">
        <v>1429</v>
      </c>
      <c r="D4" s="52" t="s">
        <v>1400</v>
      </c>
      <c r="E4" s="52" t="s">
        <v>1401</v>
      </c>
      <c r="F4" s="52" t="s">
        <v>1402</v>
      </c>
      <c r="G4" s="52" t="s">
        <v>1403</v>
      </c>
      <c r="H4" s="52" t="s">
        <v>1404</v>
      </c>
    </row>
    <row r="5" spans="2:8" ht="13.5" thickTop="1">
      <c r="B5" s="119"/>
      <c r="C5" s="119"/>
      <c r="D5" s="119"/>
      <c r="E5" s="119"/>
      <c r="F5" s="119"/>
      <c r="G5" s="119"/>
      <c r="H5" s="119"/>
    </row>
    <row r="6" spans="2:8" ht="12.75">
      <c r="B6" s="31" t="s">
        <v>1329</v>
      </c>
      <c r="C6" s="18">
        <f aca="true" t="shared" si="0" ref="C6:H6">+C7+C9+C12</f>
        <v>20877</v>
      </c>
      <c r="D6" s="18">
        <f t="shared" si="0"/>
        <v>14868.843944844419</v>
      </c>
      <c r="E6" s="18">
        <f t="shared" si="0"/>
        <v>15141.473037608612</v>
      </c>
      <c r="F6" s="18">
        <f t="shared" si="0"/>
        <v>15323.020160021395</v>
      </c>
      <c r="G6" s="18">
        <f t="shared" si="0"/>
        <v>15506.957758937333</v>
      </c>
      <c r="H6" s="18">
        <f t="shared" si="0"/>
        <v>15693.568618785454</v>
      </c>
    </row>
    <row r="7" spans="2:8" ht="12.75">
      <c r="B7" s="20" t="s">
        <v>1335</v>
      </c>
      <c r="C7" s="110">
        <f>Bilansi!Q8</f>
        <v>319</v>
      </c>
      <c r="D7" s="110">
        <f>D8</f>
        <v>774.0075734180614</v>
      </c>
      <c r="E7" s="110">
        <f>E8</f>
        <v>782.4914035778816</v>
      </c>
      <c r="F7" s="110">
        <f>F8</f>
        <v>787.0179349008018</v>
      </c>
      <c r="G7" s="110">
        <f>G8</f>
        <v>791.5547916383734</v>
      </c>
      <c r="H7" s="110">
        <f>H8</f>
        <v>796.2526772846845</v>
      </c>
    </row>
    <row r="8" spans="2:8" ht="12.75">
      <c r="B8" s="20" t="s">
        <v>174</v>
      </c>
      <c r="C8" s="110"/>
      <c r="D8" s="110">
        <f>'Proj. sredstava'!J31</f>
        <v>774.0075734180614</v>
      </c>
      <c r="E8" s="110">
        <f>'Proj. sredstava'!K31</f>
        <v>782.4914035778816</v>
      </c>
      <c r="F8" s="110">
        <f>'Proj. sredstava'!L31</f>
        <v>787.0179349008018</v>
      </c>
      <c r="G8" s="110">
        <f>'Proj. sredstava'!M31</f>
        <v>791.5547916383734</v>
      </c>
      <c r="H8" s="110">
        <f>'Proj. sredstava'!N31</f>
        <v>796.2526772846845</v>
      </c>
    </row>
    <row r="9" spans="2:8" ht="12.75">
      <c r="B9" s="20" t="s">
        <v>82</v>
      </c>
      <c r="C9" s="110">
        <f aca="true" t="shared" si="1" ref="C9:H9">+SUM(C10:C11)</f>
        <v>16330</v>
      </c>
      <c r="D9" s="110">
        <f t="shared" si="1"/>
        <v>8928.48075</v>
      </c>
      <c r="E9" s="110">
        <f t="shared" si="1"/>
        <v>9107.050365000001</v>
      </c>
      <c r="F9" s="110">
        <f t="shared" si="1"/>
        <v>9228.477703200002</v>
      </c>
      <c r="G9" s="110">
        <f t="shared" si="1"/>
        <v>9351.524072576003</v>
      </c>
      <c r="H9" s="110">
        <f t="shared" si="1"/>
        <v>9476.211060210351</v>
      </c>
    </row>
    <row r="10" spans="2:8" ht="12.75">
      <c r="B10" s="20" t="s">
        <v>176</v>
      </c>
      <c r="C10" s="110">
        <f>Bilansi!Q10</f>
        <v>16330</v>
      </c>
      <c r="D10" s="110">
        <f>+'Proj. sredstava'!J30</f>
        <v>8928.48075</v>
      </c>
      <c r="E10" s="110">
        <f>+'Proj. sredstava'!K30</f>
        <v>9107.050365000001</v>
      </c>
      <c r="F10" s="110">
        <f>+'Proj. sredstava'!L30</f>
        <v>9228.477703200002</v>
      </c>
      <c r="G10" s="110">
        <f>+'Proj. sredstava'!M30</f>
        <v>9351.524072576003</v>
      </c>
      <c r="H10" s="110">
        <f>+'Proj. sredstava'!N30</f>
        <v>9476.211060210351</v>
      </c>
    </row>
    <row r="11" spans="2:8" ht="12.75">
      <c r="B11" s="20" t="s">
        <v>177</v>
      </c>
      <c r="C11" s="110">
        <f>Bilansi!Q12</f>
        <v>0</v>
      </c>
      <c r="D11" s="110">
        <f>+'Proj. sredstava'!C85</f>
        <v>0</v>
      </c>
      <c r="E11" s="110">
        <f>+'Proj. sredstava'!D85</f>
        <v>0</v>
      </c>
      <c r="F11" s="110">
        <f>+'Proj. sredstava'!E85</f>
        <v>0</v>
      </c>
      <c r="G11" s="110">
        <f>+'Proj. sredstava'!F85</f>
        <v>0</v>
      </c>
      <c r="H11" s="110">
        <f>+'Proj. sredstava'!G85</f>
        <v>0</v>
      </c>
    </row>
    <row r="12" spans="2:8" ht="12.75">
      <c r="B12" s="20" t="s">
        <v>1330</v>
      </c>
      <c r="C12" s="110">
        <f aca="true" t="shared" si="2" ref="C12:H12">+SUM(C13:C15)</f>
        <v>4228</v>
      </c>
      <c r="D12" s="110">
        <f t="shared" si="2"/>
        <v>5166.355621426358</v>
      </c>
      <c r="E12" s="110">
        <f t="shared" si="2"/>
        <v>5251.931269030728</v>
      </c>
      <c r="F12" s="110">
        <f t="shared" si="2"/>
        <v>5307.524521920593</v>
      </c>
      <c r="G12" s="110">
        <f t="shared" si="2"/>
        <v>5363.878894722956</v>
      </c>
      <c r="H12" s="110">
        <f t="shared" si="2"/>
        <v>5421.104881290417</v>
      </c>
    </row>
    <row r="13" spans="2:8" ht="12.75">
      <c r="B13" s="20" t="s">
        <v>280</v>
      </c>
      <c r="C13" s="110">
        <f>Bilansi!Q14+Bilansi!C18</f>
        <v>4228</v>
      </c>
      <c r="D13" s="110">
        <f>+'Proj. sredstava'!J27</f>
        <v>3790.9031982480433</v>
      </c>
      <c r="E13" s="110">
        <f>+'Proj. sredstava'!K27</f>
        <v>3859.9769455630044</v>
      </c>
      <c r="F13" s="110">
        <f>+'Proj. sredstava'!L27</f>
        <v>3906.9524270705115</v>
      </c>
      <c r="G13" s="110">
        <f>+'Proj. sredstava'!M27</f>
        <v>3954.5540261092297</v>
      </c>
      <c r="H13" s="110">
        <f>+'Proj. sredstava'!N27</f>
        <v>4002.790090912909</v>
      </c>
    </row>
    <row r="14" spans="2:8" ht="12.75">
      <c r="B14" s="20" t="s">
        <v>178</v>
      </c>
      <c r="C14" s="110">
        <f>Bilansi!Q15</f>
        <v>0</v>
      </c>
      <c r="D14" s="110">
        <f>+'Proj. sredstava'!J28</f>
        <v>859.4473742329404</v>
      </c>
      <c r="E14" s="110">
        <f>+'Proj. sredstava'!K28</f>
        <v>870.2933877491354</v>
      </c>
      <c r="F14" s="110">
        <f>+'Proj. sredstava'!L28</f>
        <v>875.8934715828805</v>
      </c>
      <c r="G14" s="110">
        <f>+'Proj. sredstava'!M28</f>
        <v>881.6216741881443</v>
      </c>
      <c r="H14" s="110">
        <f>+'Proj. sredstava'!N28</f>
        <v>887.4796721877187</v>
      </c>
    </row>
    <row r="15" spans="2:8" ht="12.75">
      <c r="B15" s="20" t="s">
        <v>281</v>
      </c>
      <c r="C15" s="110">
        <f>Bilansi!Q16</f>
        <v>0</v>
      </c>
      <c r="D15" s="110">
        <f>+'Proj. sredstava'!J29</f>
        <v>516.0050489453743</v>
      </c>
      <c r="E15" s="110">
        <f>+'Proj. sredstava'!K29</f>
        <v>521.6609357185877</v>
      </c>
      <c r="F15" s="110">
        <f>+'Proj. sredstava'!L29</f>
        <v>524.6786232672013</v>
      </c>
      <c r="G15" s="110">
        <f>+'Proj. sredstava'!M29</f>
        <v>527.7031944255823</v>
      </c>
      <c r="H15" s="110">
        <f>+'Proj. sredstava'!N29</f>
        <v>530.8351181897897</v>
      </c>
    </row>
    <row r="16" spans="2:8" ht="12.75">
      <c r="B16" s="20" t="s">
        <v>85</v>
      </c>
      <c r="C16" s="110">
        <f>Bilansi!Q19</f>
        <v>0</v>
      </c>
      <c r="D16" s="110">
        <f>+'Proj. sredstava'!C86</f>
        <v>0</v>
      </c>
      <c r="E16" s="110">
        <f>+D16</f>
        <v>0</v>
      </c>
      <c r="F16" s="110">
        <f>+E16</f>
        <v>0</v>
      </c>
      <c r="G16" s="110">
        <f>+F16</f>
        <v>0</v>
      </c>
      <c r="H16" s="110">
        <f>+G16</f>
        <v>0</v>
      </c>
    </row>
    <row r="17" spans="2:8" ht="12.75">
      <c r="B17" s="31" t="s">
        <v>1331</v>
      </c>
      <c r="C17" s="18">
        <f aca="true" t="shared" si="3" ref="C17:H17">+C18+C19+C22</f>
        <v>46224</v>
      </c>
      <c r="D17" s="18">
        <f t="shared" si="3"/>
        <v>46224.00000000003</v>
      </c>
      <c r="E17" s="18">
        <f t="shared" si="3"/>
        <v>46224</v>
      </c>
      <c r="F17" s="18">
        <f t="shared" si="3"/>
        <v>46224.00000000003</v>
      </c>
      <c r="G17" s="18">
        <f t="shared" si="3"/>
        <v>46224</v>
      </c>
      <c r="H17" s="18">
        <f t="shared" si="3"/>
        <v>46224</v>
      </c>
    </row>
    <row r="18" spans="2:14" ht="12.75">
      <c r="B18" s="20" t="s">
        <v>1385</v>
      </c>
      <c r="C18" s="110">
        <f>Bilansi!Q21</f>
        <v>0</v>
      </c>
      <c r="D18" s="110">
        <f>IF((Bilansi!Q21-'P,R, BU'!C136)&gt;0,(Bilansi!Q21-'P,R, BU'!C136),0)</f>
        <v>0</v>
      </c>
      <c r="E18" s="110">
        <f>IF((D18-'P,R, BU'!C136)&gt;0,D18-'P,R, BU'!C136,0)</f>
        <v>0</v>
      </c>
      <c r="F18" s="110">
        <f>IF((E18-'P,R, BU'!D136)&gt;0,E18-'P,R, BU'!D136,0)</f>
        <v>0</v>
      </c>
      <c r="G18" s="110">
        <f>IF((F18-'P,R, BU'!E136)&gt;0,F18-'P,R, BU'!E136,0)</f>
        <v>0</v>
      </c>
      <c r="H18" s="110">
        <f>IF((G18-'P,R, BU'!F136)&gt;0,G18-'P,R, BU'!F136,0)</f>
        <v>0</v>
      </c>
      <c r="I18" s="14"/>
      <c r="N18" s="2" t="s">
        <v>308</v>
      </c>
    </row>
    <row r="19" spans="2:8" ht="12.75">
      <c r="B19" s="20" t="s">
        <v>1332</v>
      </c>
      <c r="C19" s="110">
        <f>Bilansi!Q24</f>
        <v>39031</v>
      </c>
      <c r="D19" s="110">
        <f>+D20-D21</f>
        <v>39031.00000000003</v>
      </c>
      <c r="E19" s="110">
        <f>+E20-E21</f>
        <v>39031</v>
      </c>
      <c r="F19" s="110">
        <f>+F20-F21</f>
        <v>39031.00000000003</v>
      </c>
      <c r="G19" s="110">
        <f>+G20-G21</f>
        <v>39031</v>
      </c>
      <c r="H19" s="110">
        <f>+H20-H21</f>
        <v>39031</v>
      </c>
    </row>
    <row r="20" spans="2:8" ht="12.75">
      <c r="B20" s="20" t="s">
        <v>1338</v>
      </c>
      <c r="C20" s="110">
        <f>Bilansi!Q25</f>
        <v>155983</v>
      </c>
      <c r="D20" s="110">
        <f>+'Proj. sredstava'!C61</f>
        <v>164849.95751832268</v>
      </c>
      <c r="E20" s="110">
        <f>+'Proj. sredstava'!D61</f>
        <v>174330.902834011</v>
      </c>
      <c r="F20" s="110">
        <f>+'Proj. sredstava'!E61</f>
        <v>184468.66045108385</v>
      </c>
      <c r="G20" s="110">
        <f>+'Proj. sredstava'!F61</f>
        <v>195309.04416093894</v>
      </c>
      <c r="H20" s="110">
        <f>+'Proj. sredstava'!G61</f>
        <v>206901.06572202637</v>
      </c>
    </row>
    <row r="21" spans="2:8" ht="12.75">
      <c r="B21" s="20" t="s">
        <v>1339</v>
      </c>
      <c r="C21" s="110">
        <f>Bilansi!Q26</f>
        <v>116952</v>
      </c>
      <c r="D21" s="110">
        <f>+'Proj. sredstava'!C62</f>
        <v>125818.95751832266</v>
      </c>
      <c r="E21" s="110">
        <f>+'Proj. sredstava'!D62</f>
        <v>135299.902834011</v>
      </c>
      <c r="F21" s="110">
        <f>+'Proj. sredstava'!E62</f>
        <v>145437.66045108382</v>
      </c>
      <c r="G21" s="110">
        <f>+'Proj. sredstava'!F62</f>
        <v>156278.04416093894</v>
      </c>
      <c r="H21" s="110">
        <f>+'Proj. sredstava'!G62</f>
        <v>167870.06572202637</v>
      </c>
    </row>
    <row r="22" spans="2:8" ht="12.75">
      <c r="B22" s="20" t="s">
        <v>179</v>
      </c>
      <c r="C22" s="110">
        <f>Bilansi!Q36</f>
        <v>7193</v>
      </c>
      <c r="D22" s="110">
        <f>+'Proj. sredstava'!C88</f>
        <v>7193</v>
      </c>
      <c r="E22" s="110">
        <f>+'Proj. sredstava'!D88</f>
        <v>7193</v>
      </c>
      <c r="F22" s="110">
        <f>+'Proj. sredstava'!E88</f>
        <v>7193</v>
      </c>
      <c r="G22" s="110">
        <f>+'Proj. sredstava'!F88</f>
        <v>7193</v>
      </c>
      <c r="H22" s="110">
        <f>+'Proj. sredstava'!G88</f>
        <v>7193</v>
      </c>
    </row>
    <row r="23" spans="2:9" ht="12.75">
      <c r="B23" s="31" t="s">
        <v>250</v>
      </c>
      <c r="C23" s="18">
        <f aca="true" t="shared" si="4" ref="C23:H23">+C17+C6+C16</f>
        <v>67101</v>
      </c>
      <c r="D23" s="18">
        <f t="shared" si="4"/>
        <v>61092.84394484445</v>
      </c>
      <c r="E23" s="18">
        <f t="shared" si="4"/>
        <v>61365.47303760861</v>
      </c>
      <c r="F23" s="18">
        <f t="shared" si="4"/>
        <v>61547.02016002142</v>
      </c>
      <c r="G23" s="18">
        <f t="shared" si="4"/>
        <v>61730.95775893734</v>
      </c>
      <c r="H23" s="18">
        <f t="shared" si="4"/>
        <v>61917.56861878545</v>
      </c>
      <c r="I23" s="8"/>
    </row>
    <row r="24" spans="2:9" ht="12.75">
      <c r="B24" s="31" t="s">
        <v>251</v>
      </c>
      <c r="C24" s="18"/>
      <c r="D24" s="18">
        <f>D25+D26</f>
        <v>1318.9257354557446</v>
      </c>
      <c r="E24" s="18">
        <f>E25+E26</f>
        <v>6944.308095953838</v>
      </c>
      <c r="F24" s="18">
        <f>F25+F26</f>
        <v>12851.310015683513</v>
      </c>
      <c r="G24" s="18">
        <f>G25+G26</f>
        <v>18962.497942764567</v>
      </c>
      <c r="H24" s="18">
        <f>H25+H26</f>
        <v>25237.380302524074</v>
      </c>
      <c r="I24" s="8"/>
    </row>
    <row r="25" spans="2:9" ht="12.75">
      <c r="B25" s="20" t="s">
        <v>329</v>
      </c>
      <c r="C25" s="18"/>
      <c r="D25" s="110">
        <f>PNT!C26</f>
        <v>1318.9257354557446</v>
      </c>
      <c r="E25" s="110">
        <f>PNT!D26</f>
        <v>6944.308095953838</v>
      </c>
      <c r="F25" s="110">
        <f>PNT!E26</f>
        <v>12851.310015683513</v>
      </c>
      <c r="G25" s="110">
        <f>PNT!F26</f>
        <v>18962.497942764567</v>
      </c>
      <c r="H25" s="110">
        <f>PNT!G26</f>
        <v>25237.380302524074</v>
      </c>
      <c r="I25" s="8"/>
    </row>
    <row r="26" spans="2:9" ht="12.75">
      <c r="B26" s="20" t="s">
        <v>330</v>
      </c>
      <c r="C26" s="18"/>
      <c r="D26" s="110">
        <f>IF(D25&lt;0,-D25,0)</f>
        <v>0</v>
      </c>
      <c r="E26" s="110">
        <f>IF(E25&lt;0,-E25,0)</f>
        <v>0</v>
      </c>
      <c r="F26" s="110">
        <f>IF(F25&lt;0,-F25,0)</f>
        <v>0</v>
      </c>
      <c r="G26" s="110">
        <f>IF(G25&lt;0,-G25,0)</f>
        <v>0</v>
      </c>
      <c r="H26" s="110">
        <f>IF(H25&lt;0,-H25,0)</f>
        <v>0</v>
      </c>
      <c r="I26" s="8"/>
    </row>
    <row r="27" spans="2:9" ht="12.75">
      <c r="B27" s="31"/>
      <c r="C27" s="18"/>
      <c r="D27" s="18"/>
      <c r="E27" s="18"/>
      <c r="F27" s="18"/>
      <c r="G27" s="18"/>
      <c r="H27" s="18"/>
      <c r="I27" s="8"/>
    </row>
    <row r="28" spans="2:9" ht="12.75">
      <c r="B28" s="31" t="s">
        <v>1333</v>
      </c>
      <c r="C28" s="18">
        <f>Bilansi!Q38</f>
        <v>67101</v>
      </c>
      <c r="D28" s="18">
        <f>+D24+D23</f>
        <v>62411.76968030019</v>
      </c>
      <c r="E28" s="18">
        <f>+E24+E23</f>
        <v>68309.78113356244</v>
      </c>
      <c r="F28" s="18">
        <f>+F24+F23</f>
        <v>74398.33017570493</v>
      </c>
      <c r="G28" s="18">
        <f>+G24+G23</f>
        <v>80693.4557017019</v>
      </c>
      <c r="H28" s="18">
        <f>+H24+H23</f>
        <v>87154.94892130952</v>
      </c>
      <c r="I28" s="8"/>
    </row>
    <row r="29" spans="2:9" ht="12.75">
      <c r="B29" s="31" t="s">
        <v>332</v>
      </c>
      <c r="C29" s="18">
        <f>Bilansi!Q39</f>
        <v>0</v>
      </c>
      <c r="D29" s="18">
        <f>C29</f>
        <v>0</v>
      </c>
      <c r="E29" s="18">
        <f>D29</f>
        <v>0</v>
      </c>
      <c r="F29" s="18">
        <f>E29</f>
        <v>0</v>
      </c>
      <c r="G29" s="18">
        <f>F29</f>
        <v>0</v>
      </c>
      <c r="H29" s="18">
        <f>G29</f>
        <v>0</v>
      </c>
      <c r="I29" s="8"/>
    </row>
    <row r="30" spans="2:9" ht="13.5" thickBot="1">
      <c r="B30" s="17" t="s">
        <v>1334</v>
      </c>
      <c r="C30" s="5">
        <f aca="true" t="shared" si="5" ref="C30:H30">C28+C29</f>
        <v>67101</v>
      </c>
      <c r="D30" s="5">
        <f t="shared" si="5"/>
        <v>62411.76968030019</v>
      </c>
      <c r="E30" s="5">
        <f t="shared" si="5"/>
        <v>68309.78113356244</v>
      </c>
      <c r="F30" s="5">
        <f t="shared" si="5"/>
        <v>74398.33017570493</v>
      </c>
      <c r="G30" s="5">
        <f t="shared" si="5"/>
        <v>80693.4557017019</v>
      </c>
      <c r="H30" s="5">
        <f t="shared" si="5"/>
        <v>87154.94892130952</v>
      </c>
      <c r="I30" s="8"/>
    </row>
    <row r="31" spans="2:9" ht="14.25" thickBot="1" thickTop="1">
      <c r="B31" s="31"/>
      <c r="C31" s="18"/>
      <c r="D31" s="18"/>
      <c r="E31" s="18"/>
      <c r="F31" s="18"/>
      <c r="G31" s="18"/>
      <c r="H31" s="18"/>
      <c r="I31" s="8"/>
    </row>
    <row r="32" spans="2:9" ht="13.5" thickTop="1">
      <c r="B32" s="51" t="s">
        <v>1441</v>
      </c>
      <c r="C32" s="51" t="s">
        <v>253</v>
      </c>
      <c r="D32" s="994" t="s">
        <v>1453</v>
      </c>
      <c r="E32" s="994"/>
      <c r="F32" s="994"/>
      <c r="G32" s="994"/>
      <c r="H32" s="994"/>
      <c r="I32" s="8"/>
    </row>
    <row r="33" spans="2:9" ht="13.5" thickBot="1">
      <c r="B33" s="17"/>
      <c r="C33" s="99" t="s">
        <v>1429</v>
      </c>
      <c r="D33" s="52" t="s">
        <v>1400</v>
      </c>
      <c r="E33" s="52" t="s">
        <v>1401</v>
      </c>
      <c r="F33" s="52" t="s">
        <v>1402</v>
      </c>
      <c r="G33" s="52" t="s">
        <v>1403</v>
      </c>
      <c r="H33" s="52" t="s">
        <v>1404</v>
      </c>
      <c r="I33" s="8"/>
    </row>
    <row r="34" spans="2:9" ht="13.5" thickTop="1">
      <c r="B34" s="31" t="s">
        <v>1341</v>
      </c>
      <c r="C34" s="18">
        <f aca="true" t="shared" si="6" ref="C34:H34">+C35+C41</f>
        <v>17790</v>
      </c>
      <c r="D34" s="18">
        <f t="shared" si="6"/>
        <v>7740.075734180614</v>
      </c>
      <c r="E34" s="18">
        <f t="shared" si="6"/>
        <v>7824.914035778814</v>
      </c>
      <c r="F34" s="18">
        <f t="shared" si="6"/>
        <v>7870.179349008019</v>
      </c>
      <c r="G34" s="18">
        <f t="shared" si="6"/>
        <v>7915.547916383735</v>
      </c>
      <c r="H34" s="18">
        <f t="shared" si="6"/>
        <v>7962.526772846845</v>
      </c>
      <c r="I34" s="8"/>
    </row>
    <row r="35" spans="2:8" ht="12.75">
      <c r="B35" s="20" t="s">
        <v>74</v>
      </c>
      <c r="C35" s="110">
        <f aca="true" t="shared" si="7" ref="C35:H35">+SUM(C36:C40)</f>
        <v>17790</v>
      </c>
      <c r="D35" s="110">
        <f t="shared" si="7"/>
        <v>7740.075734180614</v>
      </c>
      <c r="E35" s="110">
        <f t="shared" si="7"/>
        <v>7824.914035778814</v>
      </c>
      <c r="F35" s="110">
        <f t="shared" si="7"/>
        <v>7870.179349008019</v>
      </c>
      <c r="G35" s="110">
        <f t="shared" si="7"/>
        <v>7915.547916383735</v>
      </c>
      <c r="H35" s="110">
        <f t="shared" si="7"/>
        <v>7962.526772846845</v>
      </c>
    </row>
    <row r="36" spans="2:8" ht="12.75">
      <c r="B36" s="20" t="s">
        <v>180</v>
      </c>
      <c r="C36" s="110">
        <f>Bilansi!Q50</f>
        <v>0</v>
      </c>
      <c r="D36" s="110">
        <f>'Proj. sredstava'!C72+'Proj. sredstava'!C73</f>
        <v>0</v>
      </c>
      <c r="E36" s="110">
        <f>'Proj. sredstava'!D72+'Proj. sredstava'!D73</f>
        <v>0</v>
      </c>
      <c r="F36" s="110">
        <f>'Proj. sredstava'!E72+'Proj. sredstava'!E73</f>
        <v>0</v>
      </c>
      <c r="G36" s="110">
        <f>'Proj. sredstava'!F72+'Proj. sredstava'!F73</f>
        <v>0</v>
      </c>
      <c r="H36" s="110">
        <f>'Proj. sredstava'!G72+'Proj. sredstava'!G73</f>
        <v>0</v>
      </c>
    </row>
    <row r="37" spans="2:8" ht="12.75">
      <c r="B37" s="20" t="s">
        <v>181</v>
      </c>
      <c r="C37" s="110">
        <f>Bilansi!Q51</f>
        <v>9762</v>
      </c>
      <c r="D37" s="110">
        <f>+'Proj. sredstava'!J33</f>
        <v>4429.3688567470535</v>
      </c>
      <c r="E37" s="110">
        <f>+'Proj. sredstava'!K33</f>
        <v>4511.520552698515</v>
      </c>
      <c r="F37" s="110">
        <f>+'Proj. sredstava'!L33</f>
        <v>4567.4965617825155</v>
      </c>
      <c r="G37" s="110">
        <f>+'Proj. sredstava'!M33</f>
        <v>4624.336565682612</v>
      </c>
      <c r="H37" s="110">
        <f>+'Proj. sredstava'!N33</f>
        <v>4682.053810881804</v>
      </c>
    </row>
    <row r="38" spans="2:8" ht="12.75">
      <c r="B38" s="20" t="s">
        <v>282</v>
      </c>
      <c r="C38" s="110">
        <f>Bilansi!Q52</f>
        <v>1891</v>
      </c>
      <c r="D38" s="110">
        <f>+'Proj. sredstava'!J34</f>
        <v>2016.4864499999996</v>
      </c>
      <c r="E38" s="110">
        <f>+'Proj. sredstava'!K34</f>
        <v>2015.6798554199997</v>
      </c>
      <c r="F38" s="110">
        <f>+'Proj. sredstava'!L34</f>
        <v>2001.7044750890882</v>
      </c>
      <c r="G38" s="110">
        <f>+'Proj. sredstava'!M34</f>
        <v>1987.8259907284707</v>
      </c>
      <c r="H38" s="110">
        <f>+'Proj. sredstava'!N34</f>
        <v>1974.0437305260866</v>
      </c>
    </row>
    <row r="39" spans="2:8" ht="12.75">
      <c r="B39" s="20" t="s">
        <v>1287</v>
      </c>
      <c r="C39" s="110">
        <f>Bilansi!Q53</f>
        <v>6137</v>
      </c>
      <c r="D39" s="110">
        <f>+'Proj. sredstava'!J35</f>
        <v>1294.220427433561</v>
      </c>
      <c r="E39" s="110">
        <f>+'Proj. sredstava'!K35</f>
        <v>1297.7136276602998</v>
      </c>
      <c r="F39" s="110">
        <f>+'Proj. sredstava'!L35</f>
        <v>1300.978312136415</v>
      </c>
      <c r="G39" s="110">
        <f>+'Proj. sredstava'!M35</f>
        <v>1303.3853599726529</v>
      </c>
      <c r="H39" s="110">
        <f>+'Proj. sredstava'!N35</f>
        <v>1306.429231438955</v>
      </c>
    </row>
    <row r="40" spans="2:8" ht="12.75">
      <c r="B40" s="20" t="s">
        <v>1288</v>
      </c>
      <c r="C40" s="110">
        <f>Bilansi!Q54</f>
        <v>0</v>
      </c>
      <c r="D40" s="110">
        <f>+'Proj. sredstava'!C87</f>
        <v>0</v>
      </c>
      <c r="E40" s="110">
        <f>+D40</f>
        <v>0</v>
      </c>
      <c r="F40" s="110">
        <f>+E40</f>
        <v>0</v>
      </c>
      <c r="G40" s="110">
        <f>+F40</f>
        <v>0</v>
      </c>
      <c r="H40" s="110">
        <f>+G40</f>
        <v>0</v>
      </c>
    </row>
    <row r="41" spans="2:8" ht="12.75">
      <c r="B41" s="20" t="s">
        <v>79</v>
      </c>
      <c r="C41" s="110">
        <f>Bilansi!Q55</f>
        <v>0</v>
      </c>
      <c r="D41" s="110">
        <f>+'Proj. sredstava'!C78</f>
        <v>0</v>
      </c>
      <c r="E41" s="110">
        <f>+'Proj. sredstava'!D78</f>
        <v>0</v>
      </c>
      <c r="F41" s="110">
        <f>+'Proj. sredstava'!E78</f>
        <v>0</v>
      </c>
      <c r="G41" s="110">
        <f>+'Proj. sredstava'!F78</f>
        <v>0</v>
      </c>
      <c r="H41" s="110">
        <f>+'Proj. sredstava'!G78</f>
        <v>0</v>
      </c>
    </row>
    <row r="42" spans="2:9" ht="12.75">
      <c r="B42" s="31" t="s">
        <v>81</v>
      </c>
      <c r="C42" s="18">
        <f>Bilansi!Q57</f>
        <v>0</v>
      </c>
      <c r="D42" s="18">
        <f>+Bilansi!Q57</f>
        <v>0</v>
      </c>
      <c r="E42" s="18">
        <f>+D42</f>
        <v>0</v>
      </c>
      <c r="F42" s="18">
        <f>+E42</f>
        <v>0</v>
      </c>
      <c r="G42" s="18">
        <f>+F42</f>
        <v>0</v>
      </c>
      <c r="H42" s="18">
        <f>+G42</f>
        <v>0</v>
      </c>
      <c r="I42" s="8"/>
    </row>
    <row r="43" spans="2:9" ht="12.75">
      <c r="B43" s="31" t="s">
        <v>1343</v>
      </c>
      <c r="C43" s="18">
        <f aca="true" t="shared" si="8" ref="C43:H43">+SUM(C44:C46)</f>
        <v>76288</v>
      </c>
      <c r="D43" s="18">
        <f t="shared" si="8"/>
        <v>81648.69394611954</v>
      </c>
      <c r="E43" s="18">
        <f t="shared" si="8"/>
        <v>87461.8670977836</v>
      </c>
      <c r="F43" s="18">
        <f t="shared" si="8"/>
        <v>93505.15082669687</v>
      </c>
      <c r="G43" s="18">
        <f t="shared" si="8"/>
        <v>99754.90778531814</v>
      </c>
      <c r="H43" s="18">
        <f t="shared" si="8"/>
        <v>106169.42214846265</v>
      </c>
      <c r="I43" s="8"/>
    </row>
    <row r="44" spans="2:8" ht="12.75">
      <c r="B44" s="20" t="s">
        <v>1344</v>
      </c>
      <c r="C44" s="110">
        <f>Bilansi!Q59+Bilansi!Q64</f>
        <v>48619</v>
      </c>
      <c r="D44" s="110">
        <f>C44</f>
        <v>48619</v>
      </c>
      <c r="E44" s="110">
        <f>+D44</f>
        <v>48619</v>
      </c>
      <c r="F44" s="110">
        <f>+E44</f>
        <v>48619</v>
      </c>
      <c r="G44" s="110">
        <f>+F44</f>
        <v>48619</v>
      </c>
      <c r="H44" s="110">
        <f>+G44</f>
        <v>48619</v>
      </c>
    </row>
    <row r="45" spans="2:8" ht="12.75">
      <c r="B45" s="20" t="s">
        <v>1345</v>
      </c>
      <c r="C45" s="110">
        <f>Bilansi!Q62</f>
        <v>0</v>
      </c>
      <c r="D45" s="110"/>
      <c r="E45" s="110"/>
      <c r="F45" s="110"/>
      <c r="G45" s="110"/>
      <c r="H45" s="110"/>
    </row>
    <row r="46" spans="2:8" ht="12.75">
      <c r="B46" s="20" t="s">
        <v>331</v>
      </c>
      <c r="C46" s="110">
        <f>Bilansi!Q63</f>
        <v>27669</v>
      </c>
      <c r="D46" s="110">
        <f>+C45+C46+'P,R, BU'!D182</f>
        <v>33029.69394611955</v>
      </c>
      <c r="E46" s="110">
        <f>+D46+'P,R, BU'!E182</f>
        <v>38842.8670977836</v>
      </c>
      <c r="F46" s="110">
        <f>+E46+'P,R, BU'!F182</f>
        <v>44886.150826696874</v>
      </c>
      <c r="G46" s="110">
        <f>+F46+'P,R, BU'!G182</f>
        <v>51135.90778531814</v>
      </c>
      <c r="H46" s="110">
        <f>+G46+'P,R, BU'!H182</f>
        <v>57550.42214846265</v>
      </c>
    </row>
    <row r="47" spans="2:9" ht="12.75">
      <c r="B47" s="31" t="s">
        <v>1347</v>
      </c>
      <c r="C47" s="18">
        <f aca="true" t="shared" si="9" ref="C47:H47">+C43+C42+C34</f>
        <v>94078</v>
      </c>
      <c r="D47" s="18">
        <f t="shared" si="9"/>
        <v>89388.76968030016</v>
      </c>
      <c r="E47" s="18">
        <f t="shared" si="9"/>
        <v>95286.78113356241</v>
      </c>
      <c r="F47" s="18">
        <f t="shared" si="9"/>
        <v>101375.33017570489</v>
      </c>
      <c r="G47" s="18">
        <f t="shared" si="9"/>
        <v>107670.45570170187</v>
      </c>
      <c r="H47" s="18">
        <f t="shared" si="9"/>
        <v>114131.9489213095</v>
      </c>
      <c r="I47" s="8"/>
    </row>
    <row r="48" spans="2:9" ht="12.75">
      <c r="B48" s="31" t="s">
        <v>333</v>
      </c>
      <c r="C48" s="18">
        <f>Bilansi!Q66</f>
        <v>0</v>
      </c>
      <c r="D48" s="18">
        <f>C48</f>
        <v>0</v>
      </c>
      <c r="E48" s="18">
        <f>D48</f>
        <v>0</v>
      </c>
      <c r="F48" s="18">
        <f>E48</f>
        <v>0</v>
      </c>
      <c r="G48" s="18">
        <f>F48</f>
        <v>0</v>
      </c>
      <c r="H48" s="18">
        <f>G48</f>
        <v>0</v>
      </c>
      <c r="I48" s="8"/>
    </row>
    <row r="49" spans="2:9" ht="13.5" thickBot="1">
      <c r="B49" s="17" t="s">
        <v>1349</v>
      </c>
      <c r="C49" s="5">
        <f aca="true" t="shared" si="10" ref="C49:H49">C47+C48</f>
        <v>94078</v>
      </c>
      <c r="D49" s="5">
        <f t="shared" si="10"/>
        <v>89388.76968030016</v>
      </c>
      <c r="E49" s="5">
        <f t="shared" si="10"/>
        <v>95286.78113356241</v>
      </c>
      <c r="F49" s="5">
        <f t="shared" si="10"/>
        <v>101375.33017570489</v>
      </c>
      <c r="G49" s="5">
        <f t="shared" si="10"/>
        <v>107670.45570170187</v>
      </c>
      <c r="H49" s="5">
        <f t="shared" si="10"/>
        <v>114131.9489213095</v>
      </c>
      <c r="I49" s="8"/>
    </row>
    <row r="50" spans="2:9" ht="13.5" thickTop="1">
      <c r="B50" s="31"/>
      <c r="C50" s="18"/>
      <c r="D50" s="18"/>
      <c r="E50" s="18"/>
      <c r="F50" s="18"/>
      <c r="G50" s="18"/>
      <c r="H50" s="18"/>
      <c r="I50" s="8"/>
    </row>
    <row r="51" spans="2:9" ht="12.75">
      <c r="B51" s="31" t="s">
        <v>315</v>
      </c>
      <c r="C51" s="142">
        <f aca="true" t="shared" si="11" ref="C51:H51">C30-C49</f>
        <v>-26977</v>
      </c>
      <c r="D51" s="142">
        <f t="shared" si="11"/>
        <v>-26976.99999999997</v>
      </c>
      <c r="E51" s="142">
        <f t="shared" si="11"/>
        <v>-26976.99999999997</v>
      </c>
      <c r="F51" s="142">
        <f t="shared" si="11"/>
        <v>-26976.999999999956</v>
      </c>
      <c r="G51" s="142">
        <f t="shared" si="11"/>
        <v>-26976.99999999997</v>
      </c>
      <c r="H51" s="142">
        <f t="shared" si="11"/>
        <v>-26976.99999999997</v>
      </c>
      <c r="I51" s="8"/>
    </row>
    <row r="52" spans="3:8" ht="12.75">
      <c r="C52" s="12"/>
      <c r="D52" s="12"/>
      <c r="E52" s="12"/>
      <c r="F52" s="12"/>
      <c r="G52" s="12"/>
      <c r="H52" s="12"/>
    </row>
    <row r="53" spans="2:8" ht="13.5" thickBot="1">
      <c r="B53" s="1" t="s">
        <v>252</v>
      </c>
      <c r="C53" s="12"/>
      <c r="D53" s="12"/>
      <c r="E53" s="12"/>
      <c r="F53" s="12"/>
      <c r="G53" s="12"/>
      <c r="H53" s="12"/>
    </row>
    <row r="54" spans="2:8" ht="13.5" thickTop="1">
      <c r="B54" s="51" t="s">
        <v>1441</v>
      </c>
      <c r="C54" s="4" t="s">
        <v>253</v>
      </c>
      <c r="D54" s="999" t="s">
        <v>1453</v>
      </c>
      <c r="E54" s="999"/>
      <c r="F54" s="999"/>
      <c r="G54" s="999"/>
      <c r="H54" s="999"/>
    </row>
    <row r="55" spans="2:8" ht="13.5" thickBot="1">
      <c r="B55" s="17"/>
      <c r="C55" s="7" t="s">
        <v>1429</v>
      </c>
      <c r="D55" s="6" t="s">
        <v>1400</v>
      </c>
      <c r="E55" s="6" t="s">
        <v>1401</v>
      </c>
      <c r="F55" s="6" t="s">
        <v>1402</v>
      </c>
      <c r="G55" s="6" t="s">
        <v>1403</v>
      </c>
      <c r="H55" s="6" t="s">
        <v>1404</v>
      </c>
    </row>
    <row r="56" spans="2:8" ht="13.5" thickTop="1">
      <c r="B56" s="119"/>
      <c r="C56" s="143"/>
      <c r="D56" s="143"/>
      <c r="E56" s="143"/>
      <c r="F56" s="143"/>
      <c r="G56" s="143"/>
      <c r="H56" s="143"/>
    </row>
    <row r="57" spans="2:8" ht="12.75">
      <c r="B57" s="20" t="s">
        <v>334</v>
      </c>
      <c r="C57" s="144">
        <f>Bilansi!C109/Bilansi!C103</f>
        <v>0.9740529681455182</v>
      </c>
      <c r="D57" s="145">
        <f>+'P,R, BU'!D171/'P,R, BU'!D167</f>
        <v>0.9429017241821523</v>
      </c>
      <c r="E57" s="145">
        <f>+'P,R, BU'!E171/'P,R, BU'!E167</f>
        <v>0.9392411526591035</v>
      </c>
      <c r="F57" s="145">
        <f>+'P,R, BU'!F171/'P,R, BU'!F167</f>
        <v>0.9376416305039867</v>
      </c>
      <c r="G57" s="145">
        <f>+'P,R, BU'!G171/'P,R, BU'!G167</f>
        <v>0.9363379051136883</v>
      </c>
      <c r="H57" s="145">
        <f>+'P,R, BU'!H171/'P,R, BU'!H167</f>
        <v>0.9355028165191547</v>
      </c>
    </row>
    <row r="58" spans="2:8" ht="12.75">
      <c r="B58" s="20" t="s">
        <v>254</v>
      </c>
      <c r="C58" s="146">
        <f>Bilansi!C118/Bilansi!C103</f>
        <v>0.025947031854481804</v>
      </c>
      <c r="D58" s="147">
        <f>+'P,R, BU'!D178/'P,R, BU'!D167</f>
        <v>0.05709827581784761</v>
      </c>
      <c r="E58" s="147">
        <f>+'P,R, BU'!E178/'P,R, BU'!E167</f>
        <v>0.060758847340896496</v>
      </c>
      <c r="F58" s="147">
        <f>+'P,R, BU'!F178/'P,R, BU'!F167</f>
        <v>0.062358369496013276</v>
      </c>
      <c r="G58" s="147">
        <f>+'P,R, BU'!G178/'P,R, BU'!G167</f>
        <v>0.06366209488631172</v>
      </c>
      <c r="H58" s="147">
        <f>+'P,R, BU'!H178/'P,R, BU'!H167</f>
        <v>0.06449718348084535</v>
      </c>
    </row>
    <row r="59" spans="2:8" ht="12.75">
      <c r="B59" s="20" t="s">
        <v>255</v>
      </c>
      <c r="C59" s="148">
        <f>Bilansi!C103/Bilansi!C181</f>
        <v>1.3180447776845639</v>
      </c>
      <c r="D59" s="124">
        <f>+'P,R, BU'!D167/('PB stanja'!D43+'PB stanja'!D42+'PB stanja'!D41+'PB stanja'!D36)</f>
        <v>1.3216292406750243</v>
      </c>
      <c r="E59" s="124">
        <f>+'P,R, BU'!E167/('PB stanja'!E43+'PB stanja'!E42+'PB stanja'!E41+'PB stanja'!E36)</f>
        <v>1.2584625856054819</v>
      </c>
      <c r="F59" s="124">
        <f>+'P,R, BU'!F167/('PB stanja'!F43+'PB stanja'!F42+'PB stanja'!F41+'PB stanja'!F36)</f>
        <v>1.192822565628245</v>
      </c>
      <c r="G59" s="124">
        <f>+'P,R, BU'!G167/('PB stanja'!G43+'PB stanja'!G42+'PB stanja'!G41+'PB stanja'!G36)</f>
        <v>1.1329987713878196</v>
      </c>
      <c r="H59" s="124">
        <f>+'P,R, BU'!H167/('PB stanja'!H43+'PB stanja'!H42+'PB stanja'!H41+'PB stanja'!H36)</f>
        <v>1.0787395103899167</v>
      </c>
    </row>
    <row r="60" spans="2:8" ht="12.75" customHeight="1">
      <c r="B60" s="20" t="s">
        <v>256</v>
      </c>
      <c r="C60" s="146">
        <f>(Bilansi!C118-Bilansi!C127)/Bilansi!C181</f>
        <v>0.034199349832214766</v>
      </c>
      <c r="D60" s="146">
        <f>('P,R, BU'!D178-'P,R, BU'!D181)/('PB stanja'!D43+'PB stanja'!D42+'PB stanja'!D41+'PB stanja'!D36)</f>
        <v>0.06477463007074721</v>
      </c>
      <c r="E60" s="146">
        <f>('P,R, BU'!E178-'P,R, BU'!E181)/('PB stanja'!E43+'PB stanja'!E42+'PB stanja'!E41+'PB stanja'!E36)</f>
        <v>0.06564281488806158</v>
      </c>
      <c r="F60" s="146">
        <f>('P,R, BU'!F178-'P,R, BU'!F181)/('PB stanja'!F43+'PB stanja'!F42+'PB stanja'!F41+'PB stanja'!F36)</f>
        <v>0.06386122770905558</v>
      </c>
      <c r="G60" s="146">
        <f>('P,R, BU'!G178-'P,R, BU'!G181)/('PB stanja'!G43+'PB stanja'!G42+'PB stanja'!G41+'PB stanja'!G36)</f>
        <v>0.061930055330375586</v>
      </c>
      <c r="H60" s="146">
        <f>('P,R, BU'!H178-'P,R, BU'!H181)/('PB stanja'!H43+'PB stanja'!H42+'PB stanja'!H41+'PB stanja'!H36)</f>
        <v>0.0597402174260242</v>
      </c>
    </row>
    <row r="61" spans="2:8" ht="12.75" customHeight="1">
      <c r="B61" s="20" t="s">
        <v>16</v>
      </c>
      <c r="C61" s="148">
        <f>Bilansi!C118/Bilansi!C123</f>
        <v>3.0586166471277845</v>
      </c>
      <c r="D61" s="110" t="e">
        <f>'P,R, BU'!D178/'P,R, BU'!C157</f>
        <v>#DIV/0!</v>
      </c>
      <c r="E61" s="110" t="e">
        <f>'P,R, BU'!E178/'P,R, BU'!D157</f>
        <v>#DIV/0!</v>
      </c>
      <c r="F61" s="110" t="e">
        <f>'P,R, BU'!F178/'P,R, BU'!E157</f>
        <v>#DIV/0!</v>
      </c>
      <c r="G61" s="110" t="e">
        <f>'P,R, BU'!G178/'P,R, BU'!F157</f>
        <v>#DIV/0!</v>
      </c>
      <c r="H61" s="110" t="e">
        <f>'P,R, BU'!H178/'P,R, BU'!G157</f>
        <v>#DIV/0!</v>
      </c>
    </row>
    <row r="62" spans="2:8" ht="12.75">
      <c r="B62" s="20" t="s">
        <v>1289</v>
      </c>
      <c r="C62" s="146">
        <f>(Bilansi!C50+Bilansi!C56)/Bilansi!C181</f>
        <v>0.0587248322147651</v>
      </c>
      <c r="D62" s="146">
        <f>(D36+D41)/(D43+D42+D41+D36)</f>
        <v>0</v>
      </c>
      <c r="E62" s="146">
        <f>(E36+E41)/(E43+E42+E41+E36)</f>
        <v>0</v>
      </c>
      <c r="F62" s="146">
        <f>(F36+F41)/(F43+F42+F41+F36)</f>
        <v>0</v>
      </c>
      <c r="G62" s="146">
        <f>(G36+G41)/(G43+G42+G41+G36)</f>
        <v>0</v>
      </c>
      <c r="H62" s="146">
        <f>(H36+H41)/(H43+H42+H41+H36)</f>
        <v>0</v>
      </c>
    </row>
    <row r="63" spans="2:8" ht="12.75">
      <c r="B63" s="20" t="s">
        <v>1354</v>
      </c>
      <c r="C63" s="148">
        <f>(Bilansi!C48-Bilansi!C54)/Bilansi!C67</f>
        <v>0.1890984077042454</v>
      </c>
      <c r="D63" s="148">
        <f>(D34-D40)/D49</f>
        <v>0.08658890553995846</v>
      </c>
      <c r="E63" s="148">
        <f>(E34-E40)/E49</f>
        <v>0.08211961767089938</v>
      </c>
      <c r="F63" s="148">
        <f>(F34-F40)/F49</f>
        <v>0.07763406871639612</v>
      </c>
      <c r="G63" s="148">
        <f>(G34-G40)/G49</f>
        <v>0.07351643368458986</v>
      </c>
      <c r="H63" s="148">
        <f>(H34-H40)/H49</f>
        <v>0.06976597568080402</v>
      </c>
    </row>
    <row r="64" spans="2:8" ht="12.75">
      <c r="B64" s="20" t="s">
        <v>1353</v>
      </c>
      <c r="C64" s="148">
        <f>(Bilansi!C48-Bilansi!C54)/(Bilansi!C40-(Bilansi!C48-Bilansi!C54))</f>
        <v>0.36077143030966724</v>
      </c>
      <c r="D64" s="148">
        <f>(D34-D40)/((D30-(D34-D40)))</f>
        <v>0.14157373177075264</v>
      </c>
      <c r="E64" s="148">
        <f>(E34-E40)/((E30-(E34-E40)))</f>
        <v>0.12936978142199712</v>
      </c>
      <c r="F64" s="148">
        <f>(F34-F40)/((F30-(F34-F40)))</f>
        <v>0.11829848344213731</v>
      </c>
      <c r="G64" s="148">
        <f>(G34-G40)/((G30-(G34-G40)))</f>
        <v>0.10876305952258464</v>
      </c>
      <c r="H64" s="148">
        <f>(H34-H40)/((H30-(H34-H40)))</f>
        <v>0.10054657449319371</v>
      </c>
    </row>
    <row r="65" spans="2:8" ht="12.75">
      <c r="B65" s="20" t="s">
        <v>257</v>
      </c>
      <c r="C65" s="148">
        <f>((Bilansi!C8+Bilansi!C9+Bilansi!C13)-(Bilansi!C49-Bilansi!C50-Bilansi!C54))/Bilansi!C103</f>
        <v>0.030700838380523315</v>
      </c>
      <c r="D65" s="148">
        <f>((D7+D9+D12)-(D35-D36-D40))/'P,R, BU'!D167</f>
        <v>0.0660625925602107</v>
      </c>
      <c r="E65" s="148">
        <f>((E7+E9+E12)-(E35-E36-E40))/'P,R, BU'!E167</f>
        <v>0.06647338986299993</v>
      </c>
      <c r="F65" s="148">
        <f>((F7+F9+F12)-(F35-F36-F40))/'P,R, BU'!F167</f>
        <v>0.06682061423598433</v>
      </c>
      <c r="G65" s="148">
        <f>((G7+G9+G12)-(G35-G36-G40))/'P,R, BU'!G167</f>
        <v>0.0671674295068084</v>
      </c>
      <c r="H65" s="148">
        <f>((H7+H9+H12)-(H35-H36-H40))/'P,R, BU'!H167</f>
        <v>0.06750283062807513</v>
      </c>
    </row>
    <row r="66" spans="2:8" ht="12.75">
      <c r="B66" s="20" t="s">
        <v>258</v>
      </c>
      <c r="C66" s="148">
        <f>Bilansi!C24/Bilansi!C103</f>
        <v>0.38817117681574526</v>
      </c>
      <c r="D66" s="148">
        <f>D19/'P,R, BU'!D167</f>
        <v>0.36170190613863235</v>
      </c>
      <c r="E66" s="148">
        <f>E19/'P,R, BU'!E167</f>
        <v>0.3546097119006197</v>
      </c>
      <c r="F66" s="148">
        <f>F19/'P,R, BU'!F167</f>
        <v>0.3499437946387697</v>
      </c>
      <c r="G66" s="148">
        <f>G19/'P,R, BU'!G167</f>
        <v>0.34533927102510137</v>
      </c>
      <c r="H66" s="148">
        <f>H19/'P,R, BU'!H167</f>
        <v>0.3407953332484553</v>
      </c>
    </row>
    <row r="67" spans="2:8" ht="12.75">
      <c r="B67" s="20" t="s">
        <v>259</v>
      </c>
      <c r="C67" s="110"/>
      <c r="D67" s="146">
        <f>('P,R, BU'!D167/'P,R, BU'!C167)-1</f>
        <v>0.02207599348653111</v>
      </c>
      <c r="E67" s="146">
        <f>('P,R, BU'!E167/'P,R, BU'!D167)-1</f>
        <v>0.020000000000000018</v>
      </c>
      <c r="F67" s="146">
        <f>('P,R, BU'!F167/'P,R, BU'!E167)-1</f>
        <v>0.01333333333333342</v>
      </c>
      <c r="G67" s="146">
        <f>('P,R, BU'!G167/'P,R, BU'!F167)-1</f>
        <v>0.01333333333333342</v>
      </c>
      <c r="H67" s="146">
        <f>('P,R, BU'!H167/'P,R, BU'!G167)-1</f>
        <v>0.01333333333333342</v>
      </c>
    </row>
    <row r="68" spans="2:8" ht="12.75">
      <c r="B68" s="20" t="s">
        <v>260</v>
      </c>
      <c r="C68" s="18"/>
      <c r="D68" s="144">
        <f>'P,R, BU'!D178/'P,R, BU'!C178-1</f>
        <v>0.6492063848038976</v>
      </c>
      <c r="E68" s="144">
        <f>-('P,R, BU'!E178/'P,R, BU'!D178)-1</f>
        <v>-2.0853922189423235</v>
      </c>
      <c r="F68" s="144">
        <f>('P,R, BU'!F178/'P,R, BU'!E178)-1</f>
        <v>0.040010092161409716</v>
      </c>
      <c r="G68" s="144">
        <f>('P,R, BU'!G178/'P,R, BU'!F178)-1</f>
        <v>0.03451907642090557</v>
      </c>
      <c r="H68" s="144">
        <f>('P,R, BU'!H178/'P,R, BU'!G178)-1</f>
        <v>0.0266257502831464</v>
      </c>
    </row>
    <row r="69" spans="2:8" ht="12.75">
      <c r="B69" s="20" t="s">
        <v>1379</v>
      </c>
      <c r="C69" s="148">
        <f>Bilansi!C103/Bilansi!C67</f>
        <v>1.0688046089415166</v>
      </c>
      <c r="D69" s="148">
        <f>'P,R, BU'!D167/'PB stanja'!D49</f>
        <v>1.2071908111953675</v>
      </c>
      <c r="E69" s="148">
        <f>'P,R, BU'!E167/'PB stanja'!E49</f>
        <v>1.1551181192224282</v>
      </c>
      <c r="F69" s="148">
        <f>'P,R, BU'!F167/'PB stanja'!F49</f>
        <v>1.100218896601794</v>
      </c>
      <c r="G69" s="148">
        <f>'P,R, BU'!G167/'PB stanja'!G49</f>
        <v>1.0497047423463652</v>
      </c>
      <c r="H69" s="148">
        <f>'P,R, BU'!H167/'PB stanja'!H49</f>
        <v>1.0034801959421313</v>
      </c>
    </row>
    <row r="70" spans="2:8" ht="12.75">
      <c r="B70" s="20" t="s">
        <v>261</v>
      </c>
      <c r="C70" s="144">
        <f>((Bilansi!C7-Bilansi!C19)-(Bilansi!C49-Bilansi!C54))/(Bilansi!C7-Bilansi!C19)</f>
        <v>0.1478660727115965</v>
      </c>
      <c r="D70" s="144">
        <f>((D6-D16)-(D35-D40))/(D6-D16)</f>
        <v>0.4794433405251801</v>
      </c>
      <c r="E70" s="144">
        <f>((E6-E16)-(E35-E40))/(E6-E16)</f>
        <v>0.48321315790457253</v>
      </c>
      <c r="F70" s="144">
        <f>((F6-F16)-(F35-F40))/(F6-F16)</f>
        <v>0.4863819751708119</v>
      </c>
      <c r="G70" s="144">
        <f>((G6-G16)-(G35-G40))/(G6-G16)</f>
        <v>0.48954862459584236</v>
      </c>
      <c r="H70" s="144">
        <f>((H6-H16)-(H35-H40))/(H6-H16)</f>
        <v>0.49262484739668627</v>
      </c>
    </row>
    <row r="71" spans="2:8" ht="12.75">
      <c r="B71" s="20" t="s">
        <v>175</v>
      </c>
      <c r="C71" s="148">
        <f>Bilansi!C58/Bilansi!C20</f>
        <v>1.650398061613015</v>
      </c>
      <c r="D71" s="148">
        <f>D43/D17</f>
        <v>1.766370152866898</v>
      </c>
      <c r="E71" s="148">
        <f>E43/E17</f>
        <v>1.892131081208541</v>
      </c>
      <c r="F71" s="148">
        <f>F43/F17</f>
        <v>2.022870171917117</v>
      </c>
      <c r="G71" s="148">
        <f>G43/G17</f>
        <v>2.158076059737758</v>
      </c>
      <c r="H71" s="148">
        <f>H43/H17</f>
        <v>2.296846273547565</v>
      </c>
    </row>
    <row r="72" spans="2:8" ht="13.5" thickBot="1">
      <c r="B72" s="23"/>
      <c r="C72" s="58"/>
      <c r="D72" s="58"/>
      <c r="E72" s="58"/>
      <c r="F72" s="58"/>
      <c r="G72" s="58"/>
      <c r="H72" s="58"/>
    </row>
    <row r="73" spans="3:8" ht="13.5" thickTop="1">
      <c r="C73" s="12"/>
      <c r="D73" s="12"/>
      <c r="E73" s="12"/>
      <c r="F73" s="12"/>
      <c r="G73" s="12"/>
      <c r="H73" s="12"/>
    </row>
    <row r="74" spans="3:8" ht="12.75">
      <c r="C74" s="12"/>
      <c r="D74" s="12"/>
      <c r="E74" s="12"/>
      <c r="F74" s="12"/>
      <c r="G74" s="12"/>
      <c r="H74" s="12"/>
    </row>
    <row r="75" spans="3:8" ht="12.75">
      <c r="C75" s="12"/>
      <c r="D75" s="12"/>
      <c r="E75" s="12"/>
      <c r="F75" s="12"/>
      <c r="G75" s="12"/>
      <c r="H75" s="12"/>
    </row>
    <row r="76" spans="3:8" ht="12.75">
      <c r="C76" s="12"/>
      <c r="D76" s="12"/>
      <c r="E76" s="12"/>
      <c r="F76" s="12"/>
      <c r="G76" s="12"/>
      <c r="H76" s="12"/>
    </row>
    <row r="77" spans="3:8" ht="12.75">
      <c r="C77" s="12"/>
      <c r="D77" s="12"/>
      <c r="E77" s="12"/>
      <c r="F77" s="12"/>
      <c r="G77" s="12"/>
      <c r="H77" s="12"/>
    </row>
    <row r="78" spans="3:8" ht="12.75">
      <c r="C78" s="12"/>
      <c r="D78" s="12"/>
      <c r="E78" s="12"/>
      <c r="F78" s="12"/>
      <c r="G78" s="12"/>
      <c r="H78" s="12"/>
    </row>
    <row r="79" spans="3:8" ht="12.75">
      <c r="C79" s="12"/>
      <c r="D79" s="12"/>
      <c r="E79" s="12"/>
      <c r="F79" s="12"/>
      <c r="G79" s="12"/>
      <c r="H79" s="12"/>
    </row>
    <row r="80" spans="3:8" ht="12.75">
      <c r="C80" s="12"/>
      <c r="D80" s="12"/>
      <c r="E80" s="12"/>
      <c r="F80" s="12"/>
      <c r="G80" s="12"/>
      <c r="H80" s="12"/>
    </row>
    <row r="81" spans="3:8" ht="12.75">
      <c r="C81" s="12"/>
      <c r="D81" s="12"/>
      <c r="E81" s="12"/>
      <c r="F81" s="12"/>
      <c r="G81" s="12"/>
      <c r="H81" s="12"/>
    </row>
    <row r="82" spans="3:8" ht="12.75">
      <c r="C82" s="12"/>
      <c r="D82" s="12"/>
      <c r="E82" s="12"/>
      <c r="F82" s="12"/>
      <c r="G82" s="12"/>
      <c r="H82" s="12"/>
    </row>
    <row r="83" spans="3:8" ht="12.75">
      <c r="C83" s="12"/>
      <c r="D83" s="12"/>
      <c r="E83" s="12"/>
      <c r="F83" s="12"/>
      <c r="G83" s="12"/>
      <c r="H83" s="12"/>
    </row>
    <row r="84" spans="3:8" ht="12.75">
      <c r="C84" s="12"/>
      <c r="D84" s="12"/>
      <c r="E84" s="12"/>
      <c r="F84" s="12"/>
      <c r="G84" s="12"/>
      <c r="H84" s="12"/>
    </row>
    <row r="85" spans="3:8" ht="12.75">
      <c r="C85" s="12"/>
      <c r="D85" s="12"/>
      <c r="E85" s="12"/>
      <c r="F85" s="12"/>
      <c r="G85" s="12"/>
      <c r="H85" s="12"/>
    </row>
    <row r="86" spans="3:8" ht="12.75">
      <c r="C86" s="12"/>
      <c r="D86" s="12"/>
      <c r="E86" s="12"/>
      <c r="F86" s="12"/>
      <c r="G86" s="12"/>
      <c r="H86" s="12"/>
    </row>
    <row r="87" spans="3:8" ht="12.75">
      <c r="C87" s="12"/>
      <c r="D87" s="12"/>
      <c r="E87" s="12"/>
      <c r="F87" s="12"/>
      <c r="G87" s="12"/>
      <c r="H87" s="12"/>
    </row>
    <row r="88" spans="3:8" ht="12.75">
      <c r="C88" s="12"/>
      <c r="D88" s="12"/>
      <c r="E88" s="12"/>
      <c r="F88" s="12"/>
      <c r="G88" s="12"/>
      <c r="H88" s="12"/>
    </row>
    <row r="89" spans="3:8" ht="12.75">
      <c r="C89" s="12"/>
      <c r="D89" s="12"/>
      <c r="E89" s="12"/>
      <c r="F89" s="12"/>
      <c r="G89" s="12"/>
      <c r="H89" s="12"/>
    </row>
    <row r="90" spans="3:8" ht="12.75">
      <c r="C90" s="12"/>
      <c r="D90" s="12"/>
      <c r="E90" s="12"/>
      <c r="F90" s="12"/>
      <c r="G90" s="12"/>
      <c r="H90" s="12"/>
    </row>
    <row r="91" spans="3:8" ht="12.75">
      <c r="C91" s="12"/>
      <c r="D91" s="12"/>
      <c r="E91" s="12"/>
      <c r="F91" s="12"/>
      <c r="G91" s="12"/>
      <c r="H91" s="12"/>
    </row>
    <row r="92" spans="3:8" ht="12.75">
      <c r="C92" s="12"/>
      <c r="D92" s="12"/>
      <c r="E92" s="12"/>
      <c r="F92" s="12"/>
      <c r="G92" s="12"/>
      <c r="H92" s="12"/>
    </row>
    <row r="93" spans="3:8" ht="12.75">
      <c r="C93" s="12"/>
      <c r="D93" s="12"/>
      <c r="E93" s="12"/>
      <c r="F93" s="12"/>
      <c r="G93" s="12"/>
      <c r="H93" s="12"/>
    </row>
    <row r="94" spans="3:8" ht="12.75">
      <c r="C94" s="12"/>
      <c r="D94" s="12"/>
      <c r="E94" s="12"/>
      <c r="F94" s="12"/>
      <c r="G94" s="12"/>
      <c r="H94" s="12"/>
    </row>
    <row r="95" spans="3:8" ht="12.75">
      <c r="C95" s="12"/>
      <c r="D95" s="12"/>
      <c r="E95" s="12"/>
      <c r="F95" s="12"/>
      <c r="G95" s="12"/>
      <c r="H95" s="12"/>
    </row>
    <row r="96" spans="3:8" ht="12.75">
      <c r="C96" s="12"/>
      <c r="D96" s="12"/>
      <c r="E96" s="12"/>
      <c r="F96" s="12"/>
      <c r="G96" s="12"/>
      <c r="H96" s="12"/>
    </row>
    <row r="97" spans="3:8" ht="12.75">
      <c r="C97" s="12"/>
      <c r="D97" s="12"/>
      <c r="E97" s="12"/>
      <c r="F97" s="12"/>
      <c r="G97" s="12"/>
      <c r="H97" s="12"/>
    </row>
    <row r="98" spans="3:8" ht="12.75">
      <c r="C98" s="12"/>
      <c r="D98" s="12"/>
      <c r="E98" s="12"/>
      <c r="F98" s="12"/>
      <c r="G98" s="12"/>
      <c r="H98" s="12"/>
    </row>
    <row r="99" spans="3:8" ht="12.75">
      <c r="C99" s="12"/>
      <c r="D99" s="12"/>
      <c r="E99" s="12"/>
      <c r="F99" s="12"/>
      <c r="G99" s="12"/>
      <c r="H99" s="12"/>
    </row>
    <row r="100" spans="3:8" ht="12.75">
      <c r="C100" s="12"/>
      <c r="D100" s="12"/>
      <c r="E100" s="12"/>
      <c r="F100" s="12"/>
      <c r="G100" s="12"/>
      <c r="H100" s="12"/>
    </row>
    <row r="101" spans="3:8" ht="12.75">
      <c r="C101" s="12"/>
      <c r="D101" s="12"/>
      <c r="E101" s="12"/>
      <c r="F101" s="12"/>
      <c r="G101" s="12"/>
      <c r="H101" s="12"/>
    </row>
    <row r="102" spans="3:8" ht="12.75">
      <c r="C102" s="12"/>
      <c r="D102" s="12"/>
      <c r="E102" s="12"/>
      <c r="F102" s="12"/>
      <c r="G102" s="12"/>
      <c r="H102" s="12"/>
    </row>
    <row r="103" spans="3:8" ht="12.75">
      <c r="C103" s="12"/>
      <c r="D103" s="12"/>
      <c r="E103" s="12"/>
      <c r="F103" s="12"/>
      <c r="G103" s="12"/>
      <c r="H103" s="12"/>
    </row>
    <row r="104" spans="3:8" ht="12.75">
      <c r="C104" s="12"/>
      <c r="D104" s="12"/>
      <c r="E104" s="12"/>
      <c r="F104" s="12"/>
      <c r="G104" s="12"/>
      <c r="H104" s="12"/>
    </row>
    <row r="105" spans="3:8" ht="12.75">
      <c r="C105" s="12"/>
      <c r="D105" s="12"/>
      <c r="E105" s="12"/>
      <c r="F105" s="12"/>
      <c r="G105" s="12"/>
      <c r="H105" s="12"/>
    </row>
    <row r="106" spans="3:8" ht="12.75">
      <c r="C106" s="12"/>
      <c r="D106" s="12"/>
      <c r="E106" s="12"/>
      <c r="F106" s="12"/>
      <c r="G106" s="12"/>
      <c r="H106" s="12"/>
    </row>
    <row r="107" spans="3:8" ht="12.75">
      <c r="C107" s="12"/>
      <c r="D107" s="12"/>
      <c r="E107" s="12"/>
      <c r="F107" s="12"/>
      <c r="G107" s="12"/>
      <c r="H107" s="12"/>
    </row>
    <row r="108" spans="3:8" ht="12.75">
      <c r="C108" s="12"/>
      <c r="D108" s="12"/>
      <c r="E108" s="12"/>
      <c r="F108" s="12"/>
      <c r="G108" s="12"/>
      <c r="H108" s="12"/>
    </row>
    <row r="109" spans="3:8" ht="12.75">
      <c r="C109" s="12"/>
      <c r="D109" s="12"/>
      <c r="E109" s="12"/>
      <c r="F109" s="12"/>
      <c r="G109" s="12"/>
      <c r="H109" s="12"/>
    </row>
    <row r="110" spans="3:8" ht="12.75">
      <c r="C110" s="12"/>
      <c r="D110" s="12"/>
      <c r="E110" s="12"/>
      <c r="F110" s="12"/>
      <c r="G110" s="12"/>
      <c r="H110" s="12"/>
    </row>
    <row r="111" spans="3:8" ht="12.75">
      <c r="C111" s="12"/>
      <c r="D111" s="12"/>
      <c r="E111" s="12"/>
      <c r="F111" s="12"/>
      <c r="G111" s="12"/>
      <c r="H111" s="12"/>
    </row>
    <row r="112" spans="3:8" ht="12.75">
      <c r="C112" s="12"/>
      <c r="D112" s="12"/>
      <c r="E112" s="12"/>
      <c r="F112" s="12"/>
      <c r="G112" s="12"/>
      <c r="H112" s="12"/>
    </row>
    <row r="113" spans="3:8" ht="12.75">
      <c r="C113" s="12"/>
      <c r="D113" s="12"/>
      <c r="E113" s="12"/>
      <c r="F113" s="12"/>
      <c r="G113" s="12"/>
      <c r="H113" s="12"/>
    </row>
    <row r="114" spans="3:8" ht="12.75">
      <c r="C114" s="12"/>
      <c r="D114" s="12"/>
      <c r="E114" s="12"/>
      <c r="F114" s="12"/>
      <c r="G114" s="12"/>
      <c r="H114" s="12"/>
    </row>
    <row r="115" spans="3:8" ht="12.75">
      <c r="C115" s="12"/>
      <c r="D115" s="12"/>
      <c r="E115" s="12"/>
      <c r="F115" s="12"/>
      <c r="G115" s="12"/>
      <c r="H115" s="12"/>
    </row>
    <row r="116" spans="3:8" ht="12.75">
      <c r="C116" s="12"/>
      <c r="D116" s="12"/>
      <c r="E116" s="12"/>
      <c r="F116" s="12"/>
      <c r="G116" s="12"/>
      <c r="H116" s="12"/>
    </row>
    <row r="117" spans="3:8" ht="12.75">
      <c r="C117" s="12"/>
      <c r="D117" s="12"/>
      <c r="E117" s="12"/>
      <c r="F117" s="12"/>
      <c r="G117" s="12"/>
      <c r="H117" s="12"/>
    </row>
    <row r="118" spans="3:8" ht="12.75">
      <c r="C118" s="12"/>
      <c r="D118" s="12"/>
      <c r="E118" s="12"/>
      <c r="F118" s="12"/>
      <c r="G118" s="12"/>
      <c r="H118" s="12"/>
    </row>
    <row r="119" spans="3:8" ht="12.75">
      <c r="C119" s="12"/>
      <c r="D119" s="12"/>
      <c r="E119" s="12"/>
      <c r="F119" s="12"/>
      <c r="G119" s="12"/>
      <c r="H119" s="12"/>
    </row>
    <row r="120" spans="3:8" ht="12.75">
      <c r="C120" s="12"/>
      <c r="D120" s="12"/>
      <c r="E120" s="12"/>
      <c r="F120" s="12"/>
      <c r="G120" s="12"/>
      <c r="H120" s="12"/>
    </row>
    <row r="121" spans="3:8" ht="12.75">
      <c r="C121" s="12"/>
      <c r="D121" s="12"/>
      <c r="E121" s="12"/>
      <c r="F121" s="12"/>
      <c r="G121" s="12"/>
      <c r="H121" s="12"/>
    </row>
    <row r="122" spans="3:8" ht="12.75">
      <c r="C122" s="12"/>
      <c r="D122" s="12"/>
      <c r="E122" s="12"/>
      <c r="F122" s="12"/>
      <c r="G122" s="12"/>
      <c r="H122" s="12"/>
    </row>
    <row r="123" spans="3:8" ht="12.75">
      <c r="C123" s="12"/>
      <c r="D123" s="12"/>
      <c r="E123" s="12"/>
      <c r="F123" s="12"/>
      <c r="G123" s="12"/>
      <c r="H123" s="12"/>
    </row>
    <row r="124" spans="3:8" ht="12.75">
      <c r="C124" s="12"/>
      <c r="D124" s="12"/>
      <c r="E124" s="12"/>
      <c r="F124" s="12"/>
      <c r="G124" s="12"/>
      <c r="H124" s="12"/>
    </row>
    <row r="125" spans="3:8" ht="12.75">
      <c r="C125" s="12"/>
      <c r="D125" s="12"/>
      <c r="E125" s="12"/>
      <c r="F125" s="12"/>
      <c r="G125" s="12"/>
      <c r="H125" s="12"/>
    </row>
    <row r="126" spans="3:8" ht="12.75">
      <c r="C126" s="12"/>
      <c r="D126" s="12"/>
      <c r="E126" s="12"/>
      <c r="F126" s="12"/>
      <c r="G126" s="12"/>
      <c r="H126" s="12"/>
    </row>
    <row r="127" spans="3:8" ht="12.75">
      <c r="C127" s="12"/>
      <c r="D127" s="12"/>
      <c r="E127" s="12"/>
      <c r="F127" s="12"/>
      <c r="G127" s="12"/>
      <c r="H127" s="12"/>
    </row>
    <row r="128" spans="3:8" ht="12.75">
      <c r="C128" s="12"/>
      <c r="D128" s="12"/>
      <c r="E128" s="12"/>
      <c r="F128" s="12"/>
      <c r="G128" s="12"/>
      <c r="H128" s="12"/>
    </row>
    <row r="129" spans="3:8" ht="12.75">
      <c r="C129" s="12"/>
      <c r="D129" s="12"/>
      <c r="E129" s="12"/>
      <c r="F129" s="12"/>
      <c r="G129" s="12"/>
      <c r="H129" s="12"/>
    </row>
    <row r="130" spans="3:8" ht="12.75">
      <c r="C130" s="12"/>
      <c r="D130" s="12"/>
      <c r="E130" s="12"/>
      <c r="F130" s="12"/>
      <c r="G130" s="12"/>
      <c r="H130" s="12"/>
    </row>
    <row r="131" spans="3:8" ht="12.75">
      <c r="C131" s="12"/>
      <c r="D131" s="12"/>
      <c r="E131" s="12"/>
      <c r="F131" s="12"/>
      <c r="G131" s="12"/>
      <c r="H131" s="12"/>
    </row>
    <row r="132" spans="3:8" ht="12.75">
      <c r="C132" s="12"/>
      <c r="D132" s="12"/>
      <c r="E132" s="12"/>
      <c r="F132" s="12"/>
      <c r="G132" s="12"/>
      <c r="H132" s="12"/>
    </row>
    <row r="133" spans="3:8" ht="12.75">
      <c r="C133" s="12"/>
      <c r="D133" s="12"/>
      <c r="E133" s="12"/>
      <c r="F133" s="12"/>
      <c r="G133" s="12"/>
      <c r="H133" s="12"/>
    </row>
    <row r="134" spans="3:8" ht="12.75">
      <c r="C134" s="12"/>
      <c r="D134" s="12"/>
      <c r="E134" s="12"/>
      <c r="F134" s="12"/>
      <c r="G134" s="12"/>
      <c r="H134" s="12"/>
    </row>
    <row r="135" spans="3:8" ht="12.75">
      <c r="C135" s="12"/>
      <c r="D135" s="12"/>
      <c r="E135" s="12"/>
      <c r="F135" s="12"/>
      <c r="G135" s="12"/>
      <c r="H135" s="12"/>
    </row>
    <row r="136" spans="3:8" ht="12.75">
      <c r="C136" s="12"/>
      <c r="D136" s="12"/>
      <c r="E136" s="12"/>
      <c r="F136" s="12"/>
      <c r="G136" s="12"/>
      <c r="H136" s="12"/>
    </row>
    <row r="137" spans="3:8" ht="12.75">
      <c r="C137" s="12"/>
      <c r="D137" s="12"/>
      <c r="E137" s="12"/>
      <c r="F137" s="12"/>
      <c r="G137" s="12"/>
      <c r="H137" s="12"/>
    </row>
    <row r="138" spans="3:8" ht="12.75">
      <c r="C138" s="12"/>
      <c r="D138" s="12"/>
      <c r="E138" s="12"/>
      <c r="F138" s="12"/>
      <c r="G138" s="12"/>
      <c r="H138" s="12"/>
    </row>
    <row r="139" spans="3:8" ht="12.75">
      <c r="C139" s="12"/>
      <c r="D139" s="12"/>
      <c r="E139" s="12"/>
      <c r="F139" s="12"/>
      <c r="G139" s="12"/>
      <c r="H139" s="12"/>
    </row>
  </sheetData>
  <sheetProtection/>
  <mergeCells count="3">
    <mergeCell ref="D3:H3"/>
    <mergeCell ref="D54:H54"/>
    <mergeCell ref="D32:H3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L1">
      <selection activeCell="C70" sqref="C70"/>
    </sheetView>
  </sheetViews>
  <sheetFormatPr defaultColWidth="9.140625" defaultRowHeight="12.75"/>
  <cols>
    <col min="1" max="1" width="9.140625" style="2" customWidth="1"/>
    <col min="2" max="2" width="37.421875" style="2" customWidth="1"/>
    <col min="3" max="3" width="8.140625" style="2" customWidth="1"/>
    <col min="4" max="4" width="10.140625" style="2" bestFit="1" customWidth="1"/>
    <col min="5" max="6" width="10.8515625" style="2" customWidth="1"/>
    <col min="7" max="16384" width="9.140625" style="2" customWidth="1"/>
  </cols>
  <sheetData>
    <row r="1" spans="1:13" ht="13.5" thickTop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441"/>
      <c r="L1" s="442"/>
      <c r="M1" s="443" t="s">
        <v>1101</v>
      </c>
    </row>
    <row r="2" spans="1:13" ht="12.7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444">
        <v>1</v>
      </c>
      <c r="L2" s="445" t="s">
        <v>936</v>
      </c>
      <c r="M2" s="446">
        <v>0</v>
      </c>
    </row>
    <row r="3" spans="1:13" ht="12.75">
      <c r="A3" s="320"/>
      <c r="B3" s="320" t="str">
        <f>+Meni!B1</f>
        <v>xy</v>
      </c>
      <c r="C3" s="320"/>
      <c r="D3" s="320"/>
      <c r="E3" s="320"/>
      <c r="F3" s="320"/>
      <c r="G3" s="320"/>
      <c r="H3" s="320"/>
      <c r="I3" s="320"/>
      <c r="J3" s="320"/>
      <c r="K3" s="444">
        <v>2</v>
      </c>
      <c r="L3" s="445" t="s">
        <v>937</v>
      </c>
      <c r="M3" s="446">
        <v>1.25</v>
      </c>
    </row>
    <row r="4" spans="1:13" ht="13.5" thickBot="1">
      <c r="A4" s="320"/>
      <c r="B4" s="447" t="s">
        <v>938</v>
      </c>
      <c r="C4" s="448"/>
      <c r="D4" s="448"/>
      <c r="E4" s="448"/>
      <c r="F4" s="320"/>
      <c r="G4" s="320"/>
      <c r="H4" s="320"/>
      <c r="I4" s="320"/>
      <c r="J4" s="320"/>
      <c r="K4" s="444">
        <v>3</v>
      </c>
      <c r="L4" s="445" t="s">
        <v>940</v>
      </c>
      <c r="M4" s="446">
        <v>2.5</v>
      </c>
    </row>
    <row r="5" spans="1:13" ht="13.5" thickTop="1">
      <c r="A5" s="441"/>
      <c r="B5" s="449" t="s">
        <v>939</v>
      </c>
      <c r="C5" s="449"/>
      <c r="D5" s="449"/>
      <c r="E5" s="449"/>
      <c r="F5" s="443"/>
      <c r="G5" s="320"/>
      <c r="H5" s="320"/>
      <c r="I5" s="320"/>
      <c r="J5" s="320"/>
      <c r="K5" s="444">
        <v>4</v>
      </c>
      <c r="L5" s="445" t="s">
        <v>166</v>
      </c>
      <c r="M5" s="446">
        <v>3.75</v>
      </c>
    </row>
    <row r="6" spans="1:13" ht="12.75">
      <c r="A6" s="444">
        <v>1</v>
      </c>
      <c r="B6" s="450" t="s">
        <v>941</v>
      </c>
      <c r="C6" s="450"/>
      <c r="D6" s="450"/>
      <c r="E6" s="451"/>
      <c r="F6" s="452">
        <v>4.5</v>
      </c>
      <c r="G6" s="320"/>
      <c r="H6" s="320"/>
      <c r="I6" s="320"/>
      <c r="J6" s="320"/>
      <c r="K6" s="444">
        <v>5</v>
      </c>
      <c r="L6" s="445" t="s">
        <v>942</v>
      </c>
      <c r="M6" s="446">
        <v>5</v>
      </c>
    </row>
    <row r="7" spans="1:13" ht="12.75">
      <c r="A7" s="444"/>
      <c r="B7" s="451"/>
      <c r="C7" s="451"/>
      <c r="D7" s="451"/>
      <c r="E7" s="451"/>
      <c r="F7" s="446"/>
      <c r="G7" s="320"/>
      <c r="H7" s="320"/>
      <c r="I7" s="320"/>
      <c r="J7" s="320"/>
      <c r="K7"/>
      <c r="L7"/>
      <c r="M7"/>
    </row>
    <row r="8" spans="1:13" ht="12.75">
      <c r="A8" s="444"/>
      <c r="B8" s="451"/>
      <c r="C8" s="451"/>
      <c r="D8" s="451"/>
      <c r="E8" s="451"/>
      <c r="F8" s="446"/>
      <c r="G8" s="320"/>
      <c r="H8" s="320"/>
      <c r="I8" s="320"/>
      <c r="J8" s="320"/>
      <c r="K8"/>
      <c r="L8"/>
      <c r="M8"/>
    </row>
    <row r="9" spans="1:13" ht="12.75">
      <c r="A9" s="444">
        <v>2</v>
      </c>
      <c r="B9" s="447" t="s">
        <v>943</v>
      </c>
      <c r="C9" s="447"/>
      <c r="D9" s="447"/>
      <c r="E9" s="447"/>
      <c r="F9" s="446"/>
      <c r="G9" s="320"/>
      <c r="H9" s="320"/>
      <c r="I9" s="320"/>
      <c r="J9" s="320"/>
      <c r="K9" s="320"/>
      <c r="L9" s="320"/>
      <c r="M9" s="320"/>
    </row>
    <row r="10" spans="1:13" ht="12.75">
      <c r="A10" s="454" t="s">
        <v>944</v>
      </c>
      <c r="B10" s="450" t="s">
        <v>1104</v>
      </c>
      <c r="C10" s="450"/>
      <c r="D10" s="450"/>
      <c r="E10" s="455">
        <f>SUM(E11:E13)</f>
        <v>3.75</v>
      </c>
      <c r="F10" s="467">
        <f>+E10/3</f>
        <v>1.25</v>
      </c>
      <c r="G10" s="320"/>
      <c r="H10" s="320"/>
      <c r="I10" s="320"/>
      <c r="J10" s="320"/>
      <c r="K10" s="320"/>
      <c r="L10" s="320"/>
      <c r="M10" s="320"/>
    </row>
    <row r="11" spans="1:13" ht="12.75">
      <c r="A11" s="444"/>
      <c r="B11" s="451" t="s">
        <v>945</v>
      </c>
      <c r="C11" s="457">
        <v>2</v>
      </c>
      <c r="D11" s="445" t="str">
        <f>VLOOKUP(C11,K$2:M$6,2)</f>
        <v>Mali rizik </v>
      </c>
      <c r="E11" s="445">
        <f>VLOOKUP(C11,K$2:M$6,3)</f>
        <v>1.25</v>
      </c>
      <c r="F11" s="458"/>
      <c r="G11" s="320"/>
      <c r="H11" s="320"/>
      <c r="I11" s="320"/>
      <c r="J11" s="320"/>
      <c r="K11" s="320"/>
      <c r="L11" s="320"/>
      <c r="M11" s="320"/>
    </row>
    <row r="12" spans="1:13" ht="12.75">
      <c r="A12" s="444"/>
      <c r="B12" s="451" t="s">
        <v>946</v>
      </c>
      <c r="C12" s="457">
        <v>2</v>
      </c>
      <c r="D12" s="445" t="str">
        <f>VLOOKUP(C12,K$2:M$6,2)</f>
        <v>Mali rizik </v>
      </c>
      <c r="E12" s="445">
        <f>VLOOKUP(C12,K$2:M$6,3)</f>
        <v>1.25</v>
      </c>
      <c r="F12" s="458"/>
      <c r="G12" s="320"/>
      <c r="H12" s="320"/>
      <c r="I12" s="320"/>
      <c r="J12" s="320"/>
      <c r="K12" s="320"/>
      <c r="L12" s="320"/>
      <c r="M12" s="320"/>
    </row>
    <row r="13" spans="1:13" ht="12.75">
      <c r="A13" s="444"/>
      <c r="B13" s="451" t="s">
        <v>947</v>
      </c>
      <c r="C13" s="457">
        <v>2</v>
      </c>
      <c r="D13" s="445" t="str">
        <f>VLOOKUP(C13,K$2:M$6,2)</f>
        <v>Mali rizik </v>
      </c>
      <c r="E13" s="445">
        <f>VLOOKUP(C13,K$2:M$6,3)</f>
        <v>1.25</v>
      </c>
      <c r="F13" s="458"/>
      <c r="G13" s="320"/>
      <c r="H13" s="320"/>
      <c r="I13" s="320"/>
      <c r="J13" s="320"/>
      <c r="K13" s="320"/>
      <c r="L13" s="320"/>
      <c r="M13" s="320"/>
    </row>
    <row r="14" spans="1:13" ht="12.75">
      <c r="A14" s="444"/>
      <c r="B14" s="451"/>
      <c r="C14" s="451"/>
      <c r="D14" s="451"/>
      <c r="E14" s="451"/>
      <c r="F14" s="458"/>
      <c r="G14" s="320"/>
      <c r="H14" s="320"/>
      <c r="I14" s="320"/>
      <c r="J14" s="320"/>
      <c r="K14" s="320"/>
      <c r="L14" s="320"/>
      <c r="M14" s="320"/>
    </row>
    <row r="15" spans="1:13" ht="12.75">
      <c r="A15" s="454" t="s">
        <v>948</v>
      </c>
      <c r="B15" s="450" t="s">
        <v>949</v>
      </c>
      <c r="C15" s="450"/>
      <c r="D15" s="450"/>
      <c r="E15" s="455">
        <f>SUM(E16:E20)</f>
        <v>7.5</v>
      </c>
      <c r="F15" s="456">
        <f>+E15/5</f>
        <v>1.5</v>
      </c>
      <c r="G15" s="320"/>
      <c r="H15" s="320"/>
      <c r="I15" s="320"/>
      <c r="J15" s="320"/>
      <c r="K15" s="320"/>
      <c r="L15" s="320"/>
      <c r="M15" s="320"/>
    </row>
    <row r="16" spans="1:13" ht="12.75">
      <c r="A16" s="444"/>
      <c r="B16" s="451" t="s">
        <v>950</v>
      </c>
      <c r="C16" s="457">
        <v>3</v>
      </c>
      <c r="D16" s="445" t="str">
        <f>VLOOKUP(C16,K$2:M$6,2)</f>
        <v>Srednji rizik </v>
      </c>
      <c r="E16" s="445">
        <f>VLOOKUP(C16,K$2:M$6,3)</f>
        <v>2.5</v>
      </c>
      <c r="F16" s="446"/>
      <c r="G16" s="320"/>
      <c r="H16" s="320"/>
      <c r="I16" s="320"/>
      <c r="J16" s="320"/>
      <c r="K16" s="320"/>
      <c r="L16" s="320"/>
      <c r="M16" s="320"/>
    </row>
    <row r="17" spans="1:13" ht="12.75">
      <c r="A17" s="444"/>
      <c r="B17" s="451" t="s">
        <v>951</v>
      </c>
      <c r="C17" s="457">
        <v>2</v>
      </c>
      <c r="D17" s="445" t="str">
        <f>VLOOKUP(C17,K$2:M$6,2)</f>
        <v>Mali rizik </v>
      </c>
      <c r="E17" s="445">
        <f>VLOOKUP(C17,K$2:M$6,3)</f>
        <v>1.25</v>
      </c>
      <c r="F17" s="446"/>
      <c r="G17" s="320"/>
      <c r="H17" s="320"/>
      <c r="I17" s="320"/>
      <c r="J17" s="320"/>
      <c r="K17" s="320"/>
      <c r="L17" s="320"/>
      <c r="M17" s="320"/>
    </row>
    <row r="18" spans="1:13" ht="12.75">
      <c r="A18" s="444"/>
      <c r="B18" s="451" t="s">
        <v>952</v>
      </c>
      <c r="C18" s="457">
        <v>2</v>
      </c>
      <c r="D18" s="445" t="str">
        <f>VLOOKUP(C18,K$2:M$6,2)</f>
        <v>Mali rizik </v>
      </c>
      <c r="E18" s="445">
        <f>VLOOKUP(C18,K$2:M$6,3)</f>
        <v>1.25</v>
      </c>
      <c r="F18" s="446"/>
      <c r="G18" s="320"/>
      <c r="H18" s="320"/>
      <c r="I18" s="320"/>
      <c r="J18" s="320"/>
      <c r="K18" s="320"/>
      <c r="L18" s="320"/>
      <c r="M18" s="320"/>
    </row>
    <row r="19" spans="1:13" ht="12.75">
      <c r="A19" s="444"/>
      <c r="B19" s="451" t="s">
        <v>953</v>
      </c>
      <c r="C19" s="457">
        <v>2</v>
      </c>
      <c r="D19" s="445" t="str">
        <f>VLOOKUP(C19,K$2:M$6,2)</f>
        <v>Mali rizik </v>
      </c>
      <c r="E19" s="445">
        <f>VLOOKUP(C19,K$2:M$6,3)</f>
        <v>1.25</v>
      </c>
      <c r="F19" s="459"/>
      <c r="G19" s="320"/>
      <c r="H19" s="320"/>
      <c r="I19" s="320"/>
      <c r="J19" s="320"/>
      <c r="K19" s="320"/>
      <c r="L19" s="320"/>
      <c r="M19" s="320"/>
    </row>
    <row r="20" spans="1:13" ht="12.75">
      <c r="A20" s="444"/>
      <c r="B20" s="451" t="s">
        <v>954</v>
      </c>
      <c r="C20" s="457">
        <v>2</v>
      </c>
      <c r="D20" s="445" t="str">
        <f>VLOOKUP(C20,K$2:M$6,2)</f>
        <v>Mali rizik </v>
      </c>
      <c r="E20" s="445">
        <f>VLOOKUP(C20,K$2:M$6,3)</f>
        <v>1.25</v>
      </c>
      <c r="F20" s="459"/>
      <c r="G20" s="320"/>
      <c r="H20" s="320"/>
      <c r="I20" s="320"/>
      <c r="J20" s="320"/>
      <c r="K20" s="320"/>
      <c r="L20" s="320"/>
      <c r="M20" s="320"/>
    </row>
    <row r="21" spans="1:13" ht="12.75">
      <c r="A21" s="444"/>
      <c r="B21" s="451"/>
      <c r="C21" s="451"/>
      <c r="D21" s="451"/>
      <c r="E21" s="451"/>
      <c r="F21" s="459"/>
      <c r="G21" s="320"/>
      <c r="H21" s="320"/>
      <c r="I21" s="320"/>
      <c r="J21" s="320"/>
      <c r="K21" s="320"/>
      <c r="L21" s="320"/>
      <c r="M21" s="320"/>
    </row>
    <row r="22" spans="1:13" ht="12.75">
      <c r="A22" s="454" t="s">
        <v>955</v>
      </c>
      <c r="B22" s="450" t="s">
        <v>1106</v>
      </c>
      <c r="C22" s="450"/>
      <c r="D22" s="450"/>
      <c r="E22" s="455">
        <f>SUM(E23:E27)</f>
        <v>20</v>
      </c>
      <c r="F22" s="456">
        <f>+E22/5</f>
        <v>4</v>
      </c>
      <c r="G22" s="320"/>
      <c r="H22" s="320"/>
      <c r="I22" s="320"/>
      <c r="J22" s="320"/>
      <c r="K22" s="320"/>
      <c r="L22" s="320"/>
      <c r="M22" s="320"/>
    </row>
    <row r="23" spans="1:13" ht="12.75">
      <c r="A23" s="444"/>
      <c r="B23" s="451" t="s">
        <v>956</v>
      </c>
      <c r="C23" s="457">
        <v>5</v>
      </c>
      <c r="D23" s="445" t="str">
        <f>VLOOKUP(C23,K$2:M$6,2)</f>
        <v>Veoma veliki rizik </v>
      </c>
      <c r="E23" s="445">
        <f>VLOOKUP(C23,K$2:M$6,3)</f>
        <v>5</v>
      </c>
      <c r="F23" s="459"/>
      <c r="G23" s="320"/>
      <c r="H23" s="320"/>
      <c r="I23" s="320"/>
      <c r="J23" s="320"/>
      <c r="K23" s="320"/>
      <c r="L23" s="320"/>
      <c r="M23" s="320"/>
    </row>
    <row r="24" spans="1:13" ht="12.75">
      <c r="A24" s="444"/>
      <c r="B24" s="451" t="s">
        <v>957</v>
      </c>
      <c r="C24" s="457">
        <v>5</v>
      </c>
      <c r="D24" s="445" t="str">
        <f>VLOOKUP(C24,K$2:M$6,2)</f>
        <v>Veoma veliki rizik </v>
      </c>
      <c r="E24" s="445">
        <f>VLOOKUP(C24,K$2:M$6,3)</f>
        <v>5</v>
      </c>
      <c r="F24" s="459"/>
      <c r="G24" s="320"/>
      <c r="H24" s="320"/>
      <c r="I24" s="320"/>
      <c r="J24" s="320"/>
      <c r="K24" s="320"/>
      <c r="L24" s="320"/>
      <c r="M24" s="320"/>
    </row>
    <row r="25" spans="1:13" ht="12.75">
      <c r="A25" s="444"/>
      <c r="B25" s="451" t="s">
        <v>958</v>
      </c>
      <c r="C25" s="457">
        <v>3</v>
      </c>
      <c r="D25" s="445" t="str">
        <f>VLOOKUP(C25,K$2:M$6,2)</f>
        <v>Srednji rizik </v>
      </c>
      <c r="E25" s="445">
        <f>VLOOKUP(C25,K$2:M$6,3)</f>
        <v>2.5</v>
      </c>
      <c r="F25" s="459"/>
      <c r="G25" s="320"/>
      <c r="H25" s="320"/>
      <c r="I25" s="320"/>
      <c r="J25" s="320"/>
      <c r="K25" s="320"/>
      <c r="L25" s="320"/>
      <c r="M25" s="320"/>
    </row>
    <row r="26" spans="1:13" ht="12.75">
      <c r="A26" s="444"/>
      <c r="B26" s="451" t="s">
        <v>959</v>
      </c>
      <c r="C26" s="457">
        <v>4</v>
      </c>
      <c r="D26" s="445" t="str">
        <f>VLOOKUP(C26,K$2:M$6,2)</f>
        <v>Značajan rizik</v>
      </c>
      <c r="E26" s="445">
        <f>VLOOKUP(C26,K$2:M$6,3)</f>
        <v>3.75</v>
      </c>
      <c r="F26" s="459"/>
      <c r="G26" s="320"/>
      <c r="H26" s="320"/>
      <c r="I26" s="320"/>
      <c r="J26" s="320"/>
      <c r="K26" s="320"/>
      <c r="L26" s="320"/>
      <c r="M26" s="320"/>
    </row>
    <row r="27" spans="1:13" ht="12.75">
      <c r="A27" s="444"/>
      <c r="B27" s="451" t="s">
        <v>960</v>
      </c>
      <c r="C27" s="457">
        <v>4</v>
      </c>
      <c r="D27" s="445" t="str">
        <f>VLOOKUP(C27,K$2:M$6,2)</f>
        <v>Značajan rizik</v>
      </c>
      <c r="E27" s="445">
        <f>VLOOKUP(C27,K$2:M$6,3)</f>
        <v>3.75</v>
      </c>
      <c r="F27" s="459"/>
      <c r="G27" s="320"/>
      <c r="H27" s="320"/>
      <c r="I27" s="320"/>
      <c r="J27" s="320"/>
      <c r="K27" s="320"/>
      <c r="L27" s="320"/>
      <c r="M27" s="320"/>
    </row>
    <row r="28" spans="1:13" ht="12.75">
      <c r="A28" s="444"/>
      <c r="B28" s="451"/>
      <c r="C28" s="451"/>
      <c r="D28" s="451"/>
      <c r="E28" s="451"/>
      <c r="F28" s="459"/>
      <c r="G28" s="320"/>
      <c r="H28" s="320"/>
      <c r="I28" s="320"/>
      <c r="J28" s="320"/>
      <c r="K28" s="320"/>
      <c r="L28" s="320"/>
      <c r="M28" s="320"/>
    </row>
    <row r="29" spans="1:13" ht="12.75">
      <c r="A29" s="454" t="s">
        <v>961</v>
      </c>
      <c r="B29" s="450" t="s">
        <v>962</v>
      </c>
      <c r="C29" s="450"/>
      <c r="D29" s="450"/>
      <c r="E29" s="455">
        <f>SUM(E30:E37)</f>
        <v>10</v>
      </c>
      <c r="F29" s="456">
        <f>+E29/8</f>
        <v>1.25</v>
      </c>
      <c r="G29" s="320"/>
      <c r="H29" s="320"/>
      <c r="I29" s="320"/>
      <c r="J29" s="320"/>
      <c r="K29" s="320"/>
      <c r="L29" s="320"/>
      <c r="M29" s="320"/>
    </row>
    <row r="30" spans="1:13" ht="12.75">
      <c r="A30" s="444"/>
      <c r="B30" s="451" t="s">
        <v>963</v>
      </c>
      <c r="C30" s="457">
        <v>2</v>
      </c>
      <c r="D30" s="445" t="str">
        <f aca="true" t="shared" si="0" ref="D30:D37">VLOOKUP(C30,K$2:M$8,2)</f>
        <v>Mali rizik </v>
      </c>
      <c r="E30" s="445">
        <f aca="true" t="shared" si="1" ref="E30:E37">VLOOKUP(C30,K$2:M$8,3)</f>
        <v>1.25</v>
      </c>
      <c r="F30" s="446"/>
      <c r="G30" s="320"/>
      <c r="H30" s="320"/>
      <c r="I30" s="320"/>
      <c r="J30" s="320"/>
      <c r="K30" s="320"/>
      <c r="L30" s="320"/>
      <c r="M30" s="320"/>
    </row>
    <row r="31" spans="1:13" ht="12.75">
      <c r="A31" s="444"/>
      <c r="B31" s="451" t="s">
        <v>964</v>
      </c>
      <c r="C31" s="457">
        <v>2</v>
      </c>
      <c r="D31" s="445" t="str">
        <f t="shared" si="0"/>
        <v>Mali rizik </v>
      </c>
      <c r="E31" s="445">
        <f t="shared" si="1"/>
        <v>1.25</v>
      </c>
      <c r="F31" s="446"/>
      <c r="G31" s="320"/>
      <c r="H31" s="320"/>
      <c r="I31" s="320"/>
      <c r="J31" s="320"/>
      <c r="K31" s="320"/>
      <c r="L31" s="320"/>
      <c r="M31" s="320"/>
    </row>
    <row r="32" spans="1:13" ht="12.75">
      <c r="A32" s="444"/>
      <c r="B32" s="451" t="s">
        <v>965</v>
      </c>
      <c r="C32" s="457">
        <v>2</v>
      </c>
      <c r="D32" s="445" t="str">
        <f t="shared" si="0"/>
        <v>Mali rizik </v>
      </c>
      <c r="E32" s="445">
        <f t="shared" si="1"/>
        <v>1.25</v>
      </c>
      <c r="F32" s="446"/>
      <c r="G32" s="320"/>
      <c r="H32" s="320"/>
      <c r="I32" s="320"/>
      <c r="J32" s="320"/>
      <c r="K32" s="320"/>
      <c r="L32" s="320"/>
      <c r="M32" s="320"/>
    </row>
    <row r="33" spans="1:13" ht="12.75">
      <c r="A33" s="444"/>
      <c r="B33" s="451" t="s">
        <v>966</v>
      </c>
      <c r="C33" s="457">
        <v>2</v>
      </c>
      <c r="D33" s="445" t="str">
        <f t="shared" si="0"/>
        <v>Mali rizik </v>
      </c>
      <c r="E33" s="445">
        <f t="shared" si="1"/>
        <v>1.25</v>
      </c>
      <c r="F33" s="446"/>
      <c r="G33" s="320"/>
      <c r="H33" s="320"/>
      <c r="I33" s="320"/>
      <c r="J33" s="320"/>
      <c r="K33" s="320"/>
      <c r="L33" s="320"/>
      <c r="M33" s="320"/>
    </row>
    <row r="34" spans="1:13" ht="12.75">
      <c r="A34" s="444"/>
      <c r="B34" s="451" t="s">
        <v>967</v>
      </c>
      <c r="C34" s="457">
        <v>2</v>
      </c>
      <c r="D34" s="445" t="str">
        <f t="shared" si="0"/>
        <v>Mali rizik </v>
      </c>
      <c r="E34" s="445">
        <f t="shared" si="1"/>
        <v>1.25</v>
      </c>
      <c r="F34" s="458"/>
      <c r="G34" s="320"/>
      <c r="H34" s="320"/>
      <c r="I34" s="320"/>
      <c r="J34" s="320"/>
      <c r="K34" s="320"/>
      <c r="L34" s="320"/>
      <c r="M34" s="320"/>
    </row>
    <row r="35" spans="1:13" ht="12.75">
      <c r="A35" s="444"/>
      <c r="B35" s="451" t="s">
        <v>968</v>
      </c>
      <c r="C35" s="457">
        <v>2</v>
      </c>
      <c r="D35" s="445" t="str">
        <f t="shared" si="0"/>
        <v>Mali rizik </v>
      </c>
      <c r="E35" s="445">
        <f t="shared" si="1"/>
        <v>1.25</v>
      </c>
      <c r="F35" s="458"/>
      <c r="G35" s="320"/>
      <c r="H35" s="320"/>
      <c r="I35" s="320"/>
      <c r="J35" s="320"/>
      <c r="K35" s="320"/>
      <c r="L35" s="320"/>
      <c r="M35" s="320"/>
    </row>
    <row r="36" spans="1:13" ht="12.75">
      <c r="A36" s="444"/>
      <c r="B36" s="451" t="s">
        <v>964</v>
      </c>
      <c r="C36" s="457">
        <v>2</v>
      </c>
      <c r="D36" s="445" t="str">
        <f t="shared" si="0"/>
        <v>Mali rizik </v>
      </c>
      <c r="E36" s="445">
        <f t="shared" si="1"/>
        <v>1.25</v>
      </c>
      <c r="F36" s="458"/>
      <c r="G36" s="320"/>
      <c r="H36" s="320"/>
      <c r="I36" s="320"/>
      <c r="J36" s="320"/>
      <c r="K36" s="320"/>
      <c r="L36" s="320"/>
      <c r="M36" s="320"/>
    </row>
    <row r="37" spans="1:13" ht="12.75">
      <c r="A37" s="444"/>
      <c r="B37" s="451" t="s">
        <v>969</v>
      </c>
      <c r="C37" s="457">
        <v>2</v>
      </c>
      <c r="D37" s="445" t="str">
        <f t="shared" si="0"/>
        <v>Mali rizik </v>
      </c>
      <c r="E37" s="445">
        <f t="shared" si="1"/>
        <v>1.25</v>
      </c>
      <c r="F37" s="458"/>
      <c r="G37" s="320"/>
      <c r="H37" s="320"/>
      <c r="I37" s="320"/>
      <c r="J37" s="320"/>
      <c r="K37" s="320"/>
      <c r="L37" s="320"/>
      <c r="M37" s="320"/>
    </row>
    <row r="38" spans="1:13" ht="12.75">
      <c r="A38" s="444"/>
      <c r="B38" s="451"/>
      <c r="C38" s="451"/>
      <c r="D38" s="451"/>
      <c r="E38" s="451"/>
      <c r="F38" s="458"/>
      <c r="G38" s="320"/>
      <c r="H38" s="320"/>
      <c r="I38" s="320"/>
      <c r="J38" s="320"/>
      <c r="K38" s="320"/>
      <c r="L38" s="320"/>
      <c r="M38" s="320"/>
    </row>
    <row r="39" spans="1:13" ht="12.75">
      <c r="A39" s="454" t="s">
        <v>970</v>
      </c>
      <c r="B39" s="450" t="s">
        <v>971</v>
      </c>
      <c r="C39" s="450"/>
      <c r="D39" s="450"/>
      <c r="E39" s="455">
        <f>SUM(E40:E43)</f>
        <v>8.75</v>
      </c>
      <c r="F39" s="456">
        <f>+E39/4</f>
        <v>2.1875</v>
      </c>
      <c r="G39" s="320"/>
      <c r="H39" s="320"/>
      <c r="I39" s="320"/>
      <c r="J39" s="320"/>
      <c r="K39" s="320"/>
      <c r="L39" s="320"/>
      <c r="M39" s="320"/>
    </row>
    <row r="40" spans="1:13" ht="12.75">
      <c r="A40" s="444"/>
      <c r="B40" s="451" t="s">
        <v>972</v>
      </c>
      <c r="C40" s="457">
        <v>3</v>
      </c>
      <c r="D40" s="445" t="str">
        <f>VLOOKUP(C40,K$2:M$6,2)</f>
        <v>Srednji rizik </v>
      </c>
      <c r="E40" s="445">
        <f>VLOOKUP(C40,K$2:M$6,3)</f>
        <v>2.5</v>
      </c>
      <c r="F40" s="458"/>
      <c r="G40" s="320"/>
      <c r="H40" s="320"/>
      <c r="I40" s="320"/>
      <c r="J40" s="320"/>
      <c r="K40" s="320"/>
      <c r="L40" s="320"/>
      <c r="M40" s="320"/>
    </row>
    <row r="41" spans="1:13" ht="12.75">
      <c r="A41" s="444"/>
      <c r="B41" s="451" t="s">
        <v>973</v>
      </c>
      <c r="C41" s="457">
        <v>3</v>
      </c>
      <c r="D41" s="445" t="str">
        <f>VLOOKUP(C41,K$2:M$6,2)</f>
        <v>Srednji rizik </v>
      </c>
      <c r="E41" s="445">
        <f>VLOOKUP(C41,K$2:M$6,3)</f>
        <v>2.5</v>
      </c>
      <c r="F41" s="458"/>
      <c r="G41" s="320"/>
      <c r="H41" s="320"/>
      <c r="I41" s="320"/>
      <c r="J41" s="320"/>
      <c r="K41" s="320"/>
      <c r="L41" s="320"/>
      <c r="M41" s="320"/>
    </row>
    <row r="42" spans="1:13" ht="12.75">
      <c r="A42" s="444"/>
      <c r="B42" s="451" t="s">
        <v>974</v>
      </c>
      <c r="C42" s="457">
        <v>3</v>
      </c>
      <c r="D42" s="445" t="str">
        <f>VLOOKUP(C42,K$2:M$6,2)</f>
        <v>Srednji rizik </v>
      </c>
      <c r="E42" s="445">
        <f>VLOOKUP(C42,K$2:M$6,3)</f>
        <v>2.5</v>
      </c>
      <c r="F42" s="458"/>
      <c r="G42" s="320"/>
      <c r="H42" s="320"/>
      <c r="I42" s="320"/>
      <c r="J42" s="320"/>
      <c r="K42" s="320"/>
      <c r="L42" s="320"/>
      <c r="M42" s="320"/>
    </row>
    <row r="43" spans="1:13" ht="12.75">
      <c r="A43" s="444"/>
      <c r="B43" s="451" t="s">
        <v>975</v>
      </c>
      <c r="C43" s="457">
        <v>2</v>
      </c>
      <c r="D43" s="445" t="str">
        <f>VLOOKUP(C43,K$2:M$6,2)</f>
        <v>Mali rizik </v>
      </c>
      <c r="E43" s="445">
        <f>VLOOKUP(C43,K$2:M$6,3)</f>
        <v>1.25</v>
      </c>
      <c r="F43" s="458"/>
      <c r="G43" s="320"/>
      <c r="H43" s="320"/>
      <c r="I43" s="320"/>
      <c r="J43" s="320"/>
      <c r="K43" s="320"/>
      <c r="L43" s="320"/>
      <c r="M43" s="320"/>
    </row>
    <row r="44" spans="1:13" ht="12.75">
      <c r="A44" s="444"/>
      <c r="B44" s="451"/>
      <c r="C44" s="451"/>
      <c r="D44" s="451"/>
      <c r="E44" s="451"/>
      <c r="F44" s="458"/>
      <c r="G44" s="320"/>
      <c r="H44" s="320"/>
      <c r="I44" s="320"/>
      <c r="J44" s="320"/>
      <c r="K44" s="320"/>
      <c r="L44" s="320"/>
      <c r="M44" s="320"/>
    </row>
    <row r="45" spans="1:13" ht="12.75">
      <c r="A45" s="444">
        <v>3</v>
      </c>
      <c r="B45" s="450" t="s">
        <v>976</v>
      </c>
      <c r="C45" s="450"/>
      <c r="D45" s="450"/>
      <c r="E45" s="451"/>
      <c r="F45" s="467">
        <f>+F10+F15+F22+F29+F39</f>
        <v>10.1875</v>
      </c>
      <c r="G45" s="320"/>
      <c r="H45" s="320"/>
      <c r="I45" s="320"/>
      <c r="J45" s="320"/>
      <c r="K45" s="320"/>
      <c r="L45" s="320"/>
      <c r="M45" s="320"/>
    </row>
    <row r="46" spans="1:13" ht="12.75">
      <c r="A46" s="444">
        <v>4</v>
      </c>
      <c r="B46" s="451" t="s">
        <v>977</v>
      </c>
      <c r="C46" s="451"/>
      <c r="D46" s="451"/>
      <c r="E46" s="451"/>
      <c r="F46" s="456">
        <v>7</v>
      </c>
      <c r="G46" s="320"/>
      <c r="H46" s="320"/>
      <c r="I46" s="320"/>
      <c r="J46" s="320"/>
      <c r="K46" s="320"/>
      <c r="L46" s="320"/>
      <c r="M46" s="320"/>
    </row>
    <row r="47" spans="1:13" ht="12.75">
      <c r="A47" s="444">
        <v>5</v>
      </c>
      <c r="B47" s="450" t="s">
        <v>978</v>
      </c>
      <c r="C47" s="450"/>
      <c r="D47" s="450"/>
      <c r="E47" s="450"/>
      <c r="F47" s="456">
        <f>+F6+F45+F46</f>
        <v>21.6875</v>
      </c>
      <c r="G47" s="320"/>
      <c r="H47" s="320"/>
      <c r="I47" s="320"/>
      <c r="J47" s="320"/>
      <c r="K47" s="320"/>
      <c r="L47" s="320"/>
      <c r="M47" s="320"/>
    </row>
    <row r="48" spans="1:13" ht="12.75">
      <c r="A48" s="444"/>
      <c r="B48" s="450"/>
      <c r="C48" s="450"/>
      <c r="D48" s="450"/>
      <c r="E48" s="450"/>
      <c r="F48" s="446"/>
      <c r="G48" s="320"/>
      <c r="H48" s="320"/>
      <c r="I48" s="320"/>
      <c r="J48" s="320"/>
      <c r="K48" s="320"/>
      <c r="L48" s="320"/>
      <c r="M48" s="320"/>
    </row>
    <row r="49" spans="1:13" ht="12.75">
      <c r="A49" s="444"/>
      <c r="B49" s="320"/>
      <c r="C49" s="320"/>
      <c r="D49" s="320"/>
      <c r="E49" s="320"/>
      <c r="F49" s="446"/>
      <c r="G49" s="320"/>
      <c r="H49" s="320"/>
      <c r="I49" s="320"/>
      <c r="J49" s="320"/>
      <c r="K49" s="320"/>
      <c r="L49" s="320"/>
      <c r="M49" s="320"/>
    </row>
    <row r="50" spans="1:13" ht="12.75">
      <c r="A50" s="444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</row>
    <row r="51" spans="1:13" ht="12.75">
      <c r="A51" s="444"/>
      <c r="B51" s="451"/>
      <c r="C51" s="451"/>
      <c r="D51" s="451"/>
      <c r="E51" s="451"/>
      <c r="F51" s="446"/>
      <c r="G51" s="320"/>
      <c r="H51" s="320"/>
      <c r="I51" s="320"/>
      <c r="J51" s="320"/>
      <c r="K51" s="320"/>
      <c r="L51" s="320"/>
      <c r="M51" s="320"/>
    </row>
    <row r="52" spans="1:13" ht="12.75">
      <c r="A52" s="444"/>
      <c r="B52" s="451" t="s">
        <v>979</v>
      </c>
      <c r="C52" s="451"/>
      <c r="D52" s="451"/>
      <c r="E52" s="451"/>
      <c r="F52" s="446"/>
      <c r="G52" s="320"/>
      <c r="H52" s="320"/>
      <c r="I52" s="320"/>
      <c r="J52" s="320"/>
      <c r="K52" s="320"/>
      <c r="L52" s="320"/>
      <c r="M52" s="320"/>
    </row>
    <row r="53" spans="1:13" ht="12.75">
      <c r="A53" s="444"/>
      <c r="B53" s="451" t="s">
        <v>980</v>
      </c>
      <c r="C53" s="451"/>
      <c r="D53" s="460">
        <f>+Ulaz!F71</f>
        <v>77921</v>
      </c>
      <c r="E53" s="445">
        <f>+D53/D55</f>
        <v>0.8535639562269277</v>
      </c>
      <c r="F53" s="456">
        <f>+F47</f>
        <v>21.6875</v>
      </c>
      <c r="G53" s="320"/>
      <c r="H53" s="320"/>
      <c r="I53" s="320"/>
      <c r="J53" s="320"/>
      <c r="K53" s="320"/>
      <c r="L53" s="320"/>
      <c r="M53" s="320"/>
    </row>
    <row r="54" spans="1:13" ht="12.75">
      <c r="A54" s="444"/>
      <c r="B54" s="451" t="s">
        <v>981</v>
      </c>
      <c r="C54" s="451"/>
      <c r="D54" s="460">
        <f>+Ulaz!F101+Ulaz!F104+Ulaz!F105</f>
        <v>13368</v>
      </c>
      <c r="E54" s="445">
        <f>+D54/D55</f>
        <v>0.14643604377307234</v>
      </c>
      <c r="F54" s="456">
        <f>+F46*0.75</f>
        <v>5.25</v>
      </c>
      <c r="G54" s="320"/>
      <c r="H54" s="320"/>
      <c r="I54" s="320"/>
      <c r="J54" s="320"/>
      <c r="K54" s="320"/>
      <c r="L54" s="320"/>
      <c r="M54" s="320"/>
    </row>
    <row r="55" spans="1:13" ht="12.75">
      <c r="A55" s="444"/>
      <c r="B55" s="451"/>
      <c r="C55" s="451"/>
      <c r="D55" s="460">
        <f>SUM(D53:D54)</f>
        <v>91289</v>
      </c>
      <c r="E55" s="445"/>
      <c r="F55" s="446"/>
      <c r="G55" s="320"/>
      <c r="H55" s="320"/>
      <c r="I55" s="320"/>
      <c r="J55" s="320"/>
      <c r="K55" s="320"/>
      <c r="L55" s="320"/>
      <c r="M55" s="320"/>
    </row>
    <row r="56" spans="1:13" ht="13.5" thickBot="1">
      <c r="A56" s="453"/>
      <c r="B56" s="461" t="s">
        <v>982</v>
      </c>
      <c r="C56" s="461"/>
      <c r="D56" s="461"/>
      <c r="E56" s="461"/>
      <c r="F56" s="462">
        <f>+(E53*F53)+(E54*F54)</f>
        <v>19.280457530480124</v>
      </c>
      <c r="G56" s="320"/>
      <c r="H56" s="320"/>
      <c r="I56" s="320"/>
      <c r="J56" s="320"/>
      <c r="K56" s="320"/>
      <c r="L56" s="320"/>
      <c r="M56" s="320"/>
    </row>
    <row r="57" ht="13.5" thickTop="1"/>
    <row r="61" ht="12.75">
      <c r="B61" s="1" t="s">
        <v>262</v>
      </c>
    </row>
    <row r="62" ht="13.5" thickBot="1"/>
    <row r="63" spans="2:6" ht="14.25" thickBot="1" thickTop="1">
      <c r="B63" s="136" t="s">
        <v>1290</v>
      </c>
      <c r="C63" s="19" t="s">
        <v>263</v>
      </c>
      <c r="D63" s="137" t="s">
        <v>264</v>
      </c>
      <c r="E63" s="137" t="s">
        <v>323</v>
      </c>
      <c r="F63" s="137" t="s">
        <v>324</v>
      </c>
    </row>
    <row r="64" spans="4:6" ht="13.5" thickTop="1">
      <c r="D64" s="138"/>
      <c r="E64" s="138"/>
      <c r="F64" s="138"/>
    </row>
    <row r="65" spans="2:6" ht="12.75">
      <c r="B65" s="2" t="s">
        <v>265</v>
      </c>
      <c r="C65" s="76">
        <v>4.5</v>
      </c>
      <c r="D65" s="463">
        <v>4.5</v>
      </c>
      <c r="E65" s="464">
        <f>D65</f>
        <v>4.5</v>
      </c>
      <c r="F65" s="464">
        <f>D65</f>
        <v>4.5</v>
      </c>
    </row>
    <row r="66" spans="2:6" ht="12.75">
      <c r="B66" s="2" t="s">
        <v>266</v>
      </c>
      <c r="C66" s="76">
        <v>7</v>
      </c>
      <c r="D66" s="463">
        <v>7</v>
      </c>
      <c r="E66" s="464">
        <f>D66</f>
        <v>7</v>
      </c>
      <c r="F66" s="464">
        <f>D66</f>
        <v>7</v>
      </c>
    </row>
    <row r="67" spans="2:6" ht="12.75">
      <c r="B67" s="36" t="s">
        <v>1291</v>
      </c>
      <c r="C67" s="139"/>
      <c r="D67" s="465">
        <f>SUM(D68:D72)</f>
        <v>10.1875</v>
      </c>
      <c r="E67" s="465">
        <f>SUM(E68:E72)</f>
        <v>10.1875</v>
      </c>
      <c r="F67" s="465">
        <f>SUM(F68:F72)</f>
        <v>10.1875</v>
      </c>
    </row>
    <row r="68" spans="2:6" ht="12.75">
      <c r="B68" s="2" t="s">
        <v>1292</v>
      </c>
      <c r="C68" s="140" t="s">
        <v>270</v>
      </c>
      <c r="D68" s="463">
        <f>+F10</f>
        <v>1.25</v>
      </c>
      <c r="E68" s="464">
        <f>D68</f>
        <v>1.25</v>
      </c>
      <c r="F68" s="464">
        <f>D68</f>
        <v>1.25</v>
      </c>
    </row>
    <row r="69" spans="2:6" ht="12.75">
      <c r="B69" s="2" t="s">
        <v>267</v>
      </c>
      <c r="C69" s="140" t="s">
        <v>270</v>
      </c>
      <c r="D69" s="463">
        <f>+F15</f>
        <v>1.5</v>
      </c>
      <c r="E69" s="464">
        <f>D69</f>
        <v>1.5</v>
      </c>
      <c r="F69" s="464">
        <f>D69</f>
        <v>1.5</v>
      </c>
    </row>
    <row r="70" spans="2:6" ht="12.75">
      <c r="B70" s="2" t="s">
        <v>1293</v>
      </c>
      <c r="C70" s="140" t="s">
        <v>270</v>
      </c>
      <c r="D70" s="463">
        <f>+F22</f>
        <v>4</v>
      </c>
      <c r="E70" s="464">
        <f>D70</f>
        <v>4</v>
      </c>
      <c r="F70" s="464">
        <f>D70</f>
        <v>4</v>
      </c>
    </row>
    <row r="71" spans="2:6" ht="12.75">
      <c r="B71" s="2" t="s">
        <v>268</v>
      </c>
      <c r="C71" s="140" t="s">
        <v>270</v>
      </c>
      <c r="D71" s="463">
        <f>+F29</f>
        <v>1.25</v>
      </c>
      <c r="E71" s="464">
        <f>D71</f>
        <v>1.25</v>
      </c>
      <c r="F71" s="464">
        <f>D71</f>
        <v>1.25</v>
      </c>
    </row>
    <row r="72" spans="2:6" ht="13.5" thickBot="1">
      <c r="B72" s="2" t="s">
        <v>1294</v>
      </c>
      <c r="C72" s="140" t="s">
        <v>270</v>
      </c>
      <c r="D72" s="463">
        <f>+F39</f>
        <v>2.1875</v>
      </c>
      <c r="E72" s="464">
        <f>D72</f>
        <v>2.1875</v>
      </c>
      <c r="F72" s="464">
        <f>D72</f>
        <v>2.1875</v>
      </c>
    </row>
    <row r="73" spans="2:6" ht="14.25" thickBot="1" thickTop="1">
      <c r="B73" s="141" t="s">
        <v>269</v>
      </c>
      <c r="C73" s="141"/>
      <c r="D73" s="466">
        <f>D67+D66+D65</f>
        <v>21.6875</v>
      </c>
      <c r="E73" s="466">
        <f>E67+E66+E65+5</f>
        <v>26.6875</v>
      </c>
      <c r="F73" s="466">
        <f>F67+F66+F65-5</f>
        <v>16.6875</v>
      </c>
    </row>
    <row r="74" spans="4:6" s="300" customFormat="1" ht="13.5" thickTop="1">
      <c r="D74" s="301">
        <f>D73/100</f>
        <v>0.216875</v>
      </c>
      <c r="E74" s="301">
        <f>E73/100</f>
        <v>0.266875</v>
      </c>
      <c r="F74" s="301">
        <f>F73/100</f>
        <v>0.166875</v>
      </c>
    </row>
    <row r="75" spans="4:6" ht="12.75">
      <c r="D75" s="105"/>
      <c r="E75" s="105"/>
      <c r="F75" s="10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39"/>
  <sheetViews>
    <sheetView zoomScalePageLayoutView="0" workbookViewId="0" topLeftCell="A38">
      <selection activeCell="C10" sqref="C10"/>
    </sheetView>
  </sheetViews>
  <sheetFormatPr defaultColWidth="9.140625" defaultRowHeight="12.75"/>
  <cols>
    <col min="1" max="1" width="9.140625" style="2" customWidth="1"/>
    <col min="2" max="2" width="35.28125" style="2" bestFit="1" customWidth="1"/>
    <col min="3" max="7" width="9.140625" style="2" customWidth="1"/>
    <col min="8" max="8" width="10.140625" style="2" bestFit="1" customWidth="1"/>
    <col min="9" max="16384" width="9.140625" style="2" customWidth="1"/>
  </cols>
  <sheetData>
    <row r="3" ht="12.75">
      <c r="B3" s="1" t="s">
        <v>1296</v>
      </c>
    </row>
    <row r="4" ht="13.5" thickBot="1"/>
    <row r="5" spans="2:8" ht="13.5" thickTop="1">
      <c r="B5" s="51" t="s">
        <v>271</v>
      </c>
      <c r="C5" s="994" t="s">
        <v>1453</v>
      </c>
      <c r="D5" s="994"/>
      <c r="E5" s="994"/>
      <c r="F5" s="994"/>
      <c r="G5" s="994"/>
      <c r="H5" s="132" t="s">
        <v>275</v>
      </c>
    </row>
    <row r="6" spans="2:8" ht="13.5" thickBot="1">
      <c r="B6" s="23"/>
      <c r="C6" s="52" t="s">
        <v>1400</v>
      </c>
      <c r="D6" s="52" t="s">
        <v>1401</v>
      </c>
      <c r="E6" s="52" t="s">
        <v>1402</v>
      </c>
      <c r="F6" s="52" t="s">
        <v>1403</v>
      </c>
      <c r="G6" s="52" t="s">
        <v>1404</v>
      </c>
      <c r="H6" s="133" t="s">
        <v>276</v>
      </c>
    </row>
    <row r="7" ht="13.5" thickTop="1">
      <c r="H7" s="20"/>
    </row>
    <row r="8" spans="2:8" ht="12.75">
      <c r="B8" s="2" t="s">
        <v>1295</v>
      </c>
      <c r="C8" s="12">
        <f>PNT!C24</f>
        <v>1318.9257354557446</v>
      </c>
      <c r="D8" s="12">
        <f>PNT!D24</f>
        <v>5625.3823604980935</v>
      </c>
      <c r="E8" s="12">
        <f>PNT!E24</f>
        <v>5907.001919729675</v>
      </c>
      <c r="F8" s="12">
        <f>PNT!F24</f>
        <v>6111.187927081053</v>
      </c>
      <c r="G8" s="12">
        <f>PNT!G24</f>
        <v>6274.882359759507</v>
      </c>
      <c r="H8" s="110">
        <f>PNT!C35</f>
        <v>6400.380006954698</v>
      </c>
    </row>
    <row r="9" spans="2:8" ht="12.75">
      <c r="B9" s="2" t="s">
        <v>272</v>
      </c>
      <c r="C9" s="12"/>
      <c r="D9" s="12"/>
      <c r="E9" s="12"/>
      <c r="F9" s="12"/>
      <c r="G9" s="12"/>
      <c r="H9" s="12">
        <f>H8/('DF'!$D$74-PNT!$C$33)</f>
        <v>32509.866701992112</v>
      </c>
    </row>
    <row r="10" spans="2:8" ht="12.75">
      <c r="B10" s="2" t="s">
        <v>273</v>
      </c>
      <c r="C10" s="134">
        <f>(1/(1+('DF'!$D$73)/100)^0.5)</f>
        <v>0.9065192181986733</v>
      </c>
      <c r="D10" s="134">
        <f>(1/(1+('DF'!$D$73/100))^1.5)</f>
        <v>0.7449567278468809</v>
      </c>
      <c r="E10" s="134">
        <f>(1/(1+('DF'!$D$73/100))^2.5)</f>
        <v>0.6121883741936363</v>
      </c>
      <c r="F10" s="134">
        <f>(1/(1+('DF'!$D$73/100))^3.5)</f>
        <v>0.5030823824909183</v>
      </c>
      <c r="G10" s="134">
        <f>(1/(1+('DF'!$D$73/100))^4.5)</f>
        <v>0.4134215778045554</v>
      </c>
      <c r="H10" s="134">
        <f>(1/(1+('DF'!$D$73/100))^(5))</f>
        <v>0.37477460549784747</v>
      </c>
    </row>
    <row r="11" spans="2:8" ht="12.75">
      <c r="B11" s="2" t="s">
        <v>1297</v>
      </c>
      <c r="C11" s="12">
        <f>C10*C8</f>
        <v>1195.6315265674518</v>
      </c>
      <c r="D11" s="12">
        <f>D10*D8</f>
        <v>4190.666436164223</v>
      </c>
      <c r="E11" s="12">
        <f>E10*E8</f>
        <v>3616.197901597998</v>
      </c>
      <c r="F11" s="12">
        <f>F10*F8</f>
        <v>3074.4309822056725</v>
      </c>
      <c r="G11" s="12">
        <f>G10*G8</f>
        <v>2594.1717657097474</v>
      </c>
      <c r="H11" s="12">
        <f>+H9*H10</f>
        <v>12183.8724680267</v>
      </c>
    </row>
    <row r="12" ht="12.75">
      <c r="H12" s="20"/>
    </row>
    <row r="13" spans="2:8" ht="12.75">
      <c r="B13" s="56" t="s">
        <v>274</v>
      </c>
      <c r="C13" s="56"/>
      <c r="D13" s="56"/>
      <c r="E13" s="56"/>
      <c r="F13" s="56"/>
      <c r="G13" s="56"/>
      <c r="H13" s="125">
        <f>+SUM(C11:H11)</f>
        <v>26854.971080271796</v>
      </c>
    </row>
    <row r="14" spans="2:8" ht="13.5" thickBot="1">
      <c r="B14" s="23"/>
      <c r="C14" s="23"/>
      <c r="D14" s="23"/>
      <c r="E14" s="23"/>
      <c r="F14" s="23"/>
      <c r="G14" s="23"/>
      <c r="H14" s="23"/>
    </row>
    <row r="15" ht="13.5" thickTop="1"/>
    <row r="17" ht="13.5" thickBot="1">
      <c r="B17" s="1" t="s">
        <v>1298</v>
      </c>
    </row>
    <row r="18" spans="2:8" ht="13.5" thickTop="1">
      <c r="B18" s="51" t="s">
        <v>271</v>
      </c>
      <c r="C18" s="994" t="s">
        <v>1453</v>
      </c>
      <c r="D18" s="994"/>
      <c r="E18" s="994"/>
      <c r="F18" s="994"/>
      <c r="G18" s="994"/>
      <c r="H18" s="132" t="s">
        <v>275</v>
      </c>
    </row>
    <row r="19" spans="2:8" ht="13.5" thickBot="1">
      <c r="B19" s="23"/>
      <c r="C19" s="52" t="s">
        <v>1400</v>
      </c>
      <c r="D19" s="52" t="s">
        <v>1401</v>
      </c>
      <c r="E19" s="52" t="s">
        <v>1402</v>
      </c>
      <c r="F19" s="52" t="s">
        <v>1403</v>
      </c>
      <c r="G19" s="52" t="s">
        <v>1404</v>
      </c>
      <c r="H19" s="133" t="s">
        <v>276</v>
      </c>
    </row>
    <row r="20" ht="13.5" thickTop="1">
      <c r="H20" s="20"/>
    </row>
    <row r="21" spans="2:8" ht="12.75">
      <c r="B21" s="2" t="s">
        <v>1295</v>
      </c>
      <c r="C21" s="12">
        <f aca="true" t="shared" si="0" ref="C21:H21">C8</f>
        <v>1318.9257354557446</v>
      </c>
      <c r="D21" s="12">
        <f t="shared" si="0"/>
        <v>5625.3823604980935</v>
      </c>
      <c r="E21" s="12">
        <f t="shared" si="0"/>
        <v>5907.001919729675</v>
      </c>
      <c r="F21" s="12">
        <f t="shared" si="0"/>
        <v>6111.187927081053</v>
      </c>
      <c r="G21" s="12">
        <f t="shared" si="0"/>
        <v>6274.882359759507</v>
      </c>
      <c r="H21" s="12">
        <f t="shared" si="0"/>
        <v>6400.380006954698</v>
      </c>
    </row>
    <row r="22" spans="2:8" ht="12.75">
      <c r="B22" s="2" t="s">
        <v>272</v>
      </c>
      <c r="C22" s="12"/>
      <c r="D22" s="12"/>
      <c r="E22" s="12"/>
      <c r="F22" s="12"/>
      <c r="G22" s="12"/>
      <c r="H22" s="12">
        <f>H21/('DF'!$E$74-PNT!$C$33)</f>
        <v>25925.58990158865</v>
      </c>
    </row>
    <row r="23" spans="2:8" ht="12.75">
      <c r="B23" s="2" t="s">
        <v>273</v>
      </c>
      <c r="C23" s="134">
        <f>(1/(1+(('DF'!$E$73)/100))^0.5)</f>
        <v>0.8884502562991952</v>
      </c>
      <c r="D23" s="134">
        <f>(1/(1+(('DF'!$E$73)/100))^1.5)</f>
        <v>0.7012927528755364</v>
      </c>
      <c r="E23" s="134">
        <f>(1/(1+(('DF'!$E$73)/100))^2.5)</f>
        <v>0.5535611270847846</v>
      </c>
      <c r="F23" s="134">
        <f>(1/(1+(('DF'!$E$73)/100))^3.5)</f>
        <v>0.43695007564659855</v>
      </c>
      <c r="G23" s="134">
        <f>(1/(1+(('DF'!$E$73)/100))^4.5)</f>
        <v>0.3449038584284942</v>
      </c>
      <c r="H23" s="134">
        <f>(1/(1+('DF'!$E$73/100))^(5))</f>
        <v>0.306429921419377</v>
      </c>
    </row>
    <row r="24" spans="2:8" ht="12.75">
      <c r="B24" s="2" t="s">
        <v>1297</v>
      </c>
      <c r="C24" s="12">
        <f>C23*C21</f>
        <v>1171.7999077052607</v>
      </c>
      <c r="D24" s="12">
        <f>D23*D21</f>
        <v>3945.039881571191</v>
      </c>
      <c r="E24" s="12">
        <f>E23*E21</f>
        <v>3269.886640377545</v>
      </c>
      <c r="F24" s="12">
        <f>F23*F21</f>
        <v>2670.284027028646</v>
      </c>
      <c r="G24" s="12">
        <f>G23*G21</f>
        <v>2164.2311370659486</v>
      </c>
      <c r="H24" s="12">
        <f>+H23*H22</f>
        <v>7944.376476294805</v>
      </c>
    </row>
    <row r="25" spans="3:8" ht="12.75">
      <c r="C25" s="12"/>
      <c r="D25" s="12"/>
      <c r="E25" s="12"/>
      <c r="F25" s="12"/>
      <c r="G25" s="12"/>
      <c r="H25" s="110"/>
    </row>
    <row r="26" spans="2:8" ht="12.75">
      <c r="B26" s="56" t="s">
        <v>274</v>
      </c>
      <c r="C26" s="135"/>
      <c r="D26" s="135"/>
      <c r="E26" s="135"/>
      <c r="F26" s="135"/>
      <c r="G26" s="135"/>
      <c r="H26" s="125">
        <f>+SUM(C24:H24)</f>
        <v>21165.618070043394</v>
      </c>
    </row>
    <row r="27" spans="2:8" ht="13.5" thickBot="1">
      <c r="B27" s="23"/>
      <c r="C27" s="23"/>
      <c r="D27" s="23"/>
      <c r="E27" s="23"/>
      <c r="F27" s="23"/>
      <c r="G27" s="23"/>
      <c r="H27" s="23"/>
    </row>
    <row r="28" ht="13.5" thickTop="1"/>
    <row r="29" ht="13.5" thickBot="1">
      <c r="B29" s="1" t="s">
        <v>1304</v>
      </c>
    </row>
    <row r="30" spans="2:8" ht="13.5" thickTop="1">
      <c r="B30" s="51" t="s">
        <v>271</v>
      </c>
      <c r="C30" s="994" t="s">
        <v>1453</v>
      </c>
      <c r="D30" s="994"/>
      <c r="E30" s="994"/>
      <c r="F30" s="994"/>
      <c r="G30" s="994"/>
      <c r="H30" s="132" t="s">
        <v>275</v>
      </c>
    </row>
    <row r="31" spans="2:8" ht="13.5" thickBot="1">
      <c r="B31" s="23"/>
      <c r="C31" s="52" t="s">
        <v>1400</v>
      </c>
      <c r="D31" s="52" t="s">
        <v>1401</v>
      </c>
      <c r="E31" s="52" t="s">
        <v>1402</v>
      </c>
      <c r="F31" s="52" t="s">
        <v>1403</v>
      </c>
      <c r="G31" s="52" t="s">
        <v>1404</v>
      </c>
      <c r="H31" s="133" t="s">
        <v>276</v>
      </c>
    </row>
    <row r="32" ht="13.5" thickTop="1">
      <c r="H32" s="20"/>
    </row>
    <row r="33" spans="2:8" ht="12.75">
      <c r="B33" s="2" t="s">
        <v>1295</v>
      </c>
      <c r="C33" s="12">
        <f aca="true" t="shared" si="1" ref="C33:H33">+C21</f>
        <v>1318.9257354557446</v>
      </c>
      <c r="D33" s="12">
        <f t="shared" si="1"/>
        <v>5625.3823604980935</v>
      </c>
      <c r="E33" s="12">
        <f t="shared" si="1"/>
        <v>5907.001919729675</v>
      </c>
      <c r="F33" s="12">
        <f t="shared" si="1"/>
        <v>6111.187927081053</v>
      </c>
      <c r="G33" s="12">
        <f t="shared" si="1"/>
        <v>6274.882359759507</v>
      </c>
      <c r="H33" s="12">
        <f t="shared" si="1"/>
        <v>6400.380006954698</v>
      </c>
    </row>
    <row r="34" spans="2:8" ht="12.75">
      <c r="B34" s="2" t="s">
        <v>272</v>
      </c>
      <c r="C34" s="12"/>
      <c r="D34" s="12"/>
      <c r="E34" s="12"/>
      <c r="F34" s="12"/>
      <c r="G34" s="12"/>
      <c r="H34" s="12">
        <f>H33/('DF'!$F$74-PNT!$C$33)</f>
        <v>43577.05536650007</v>
      </c>
    </row>
    <row r="35" spans="2:8" ht="12.75">
      <c r="B35" s="2" t="s">
        <v>273</v>
      </c>
      <c r="C35" s="134">
        <f>(1/(1+(('DF'!$F$73)/100))^0.5)</f>
        <v>0.9257374483328678</v>
      </c>
      <c r="D35" s="134">
        <f>(1/(1+(('DF'!$F$73)/100))^1.5)</f>
        <v>0.7933475722188474</v>
      </c>
      <c r="E35" s="134">
        <f>(1/(1+(('DF'!$F$73)/100))^2.5)</f>
        <v>0.6798907956883534</v>
      </c>
      <c r="F35" s="134">
        <f>(1/(1+(('DF'!$F$73)/100))^3.5)</f>
        <v>0.5826594928234415</v>
      </c>
      <c r="G35" s="134">
        <f>(1/(1+(('DF'!$F$73)/100))^4.5)</f>
        <v>0.4993332557672771</v>
      </c>
      <c r="H35" s="134">
        <f>(1/(1+('DF'!$F$73/100))^(5))</f>
        <v>0.46225149406174243</v>
      </c>
    </row>
    <row r="36" spans="2:8" ht="12.75">
      <c r="B36" s="2" t="s">
        <v>1297</v>
      </c>
      <c r="C36" s="12">
        <f>C35*C33</f>
        <v>1220.978944881352</v>
      </c>
      <c r="D36" s="12">
        <f>D35*D33</f>
        <v>4462.883438503892</v>
      </c>
      <c r="E36" s="12">
        <f>E35*E33</f>
        <v>4016.11623533764</v>
      </c>
      <c r="F36" s="12">
        <f>F35*F33</f>
        <v>3560.7416581417856</v>
      </c>
      <c r="G36" s="12">
        <f>G35*G33</f>
        <v>3133.2574382553694</v>
      </c>
      <c r="H36" s="12">
        <f>+H35*H34</f>
        <v>20143.55894997593</v>
      </c>
    </row>
    <row r="37" spans="3:8" ht="12.75">
      <c r="C37" s="12"/>
      <c r="D37" s="12"/>
      <c r="E37" s="12"/>
      <c r="F37" s="12"/>
      <c r="G37" s="12"/>
      <c r="H37" s="110"/>
    </row>
    <row r="38" spans="2:8" ht="12.75">
      <c r="B38" s="56" t="s">
        <v>274</v>
      </c>
      <c r="C38" s="135"/>
      <c r="D38" s="135"/>
      <c r="E38" s="135"/>
      <c r="F38" s="135"/>
      <c r="G38" s="135"/>
      <c r="H38" s="125">
        <f>+SUM(C36:H36)</f>
        <v>36537.53666509597</v>
      </c>
    </row>
    <row r="39" spans="2:8" ht="13.5" thickBot="1">
      <c r="B39" s="23"/>
      <c r="C39" s="23"/>
      <c r="D39" s="23"/>
      <c r="E39" s="23"/>
      <c r="F39" s="23"/>
      <c r="G39" s="23"/>
      <c r="H39" s="23"/>
    </row>
    <row r="40" ht="13.5" thickTop="1"/>
  </sheetData>
  <sheetProtection/>
  <mergeCells count="3">
    <mergeCell ref="C5:G5"/>
    <mergeCell ref="C18:G18"/>
    <mergeCell ref="C30:G30"/>
  </mergeCells>
  <printOptions/>
  <pageMargins left="0.75" right="0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1205"/>
  <sheetViews>
    <sheetView zoomScalePageLayoutView="0" workbookViewId="0" topLeftCell="A1">
      <selection activeCell="D1019" sqref="D1019"/>
    </sheetView>
  </sheetViews>
  <sheetFormatPr defaultColWidth="3.28125" defaultRowHeight="12" customHeight="1"/>
  <cols>
    <col min="1" max="1" width="9.140625" style="536" customWidth="1"/>
    <col min="2" max="2" width="40.421875" style="536" customWidth="1"/>
    <col min="3" max="3" width="10.8515625" style="536" customWidth="1"/>
    <col min="4" max="4" width="12.00390625" style="536" customWidth="1"/>
    <col min="5" max="5" width="10.28125" style="536" customWidth="1"/>
    <col min="6" max="6" width="10.421875" style="536" customWidth="1"/>
    <col min="7" max="7" width="11.00390625" style="536" customWidth="1"/>
    <col min="8" max="8" width="10.57421875" style="536" customWidth="1"/>
    <col min="9" max="16384" width="3.28125" style="536" customWidth="1"/>
  </cols>
  <sheetData>
    <row r="3" ht="12" customHeight="1">
      <c r="B3" s="537" t="s">
        <v>397</v>
      </c>
    </row>
    <row r="4" ht="12" customHeight="1">
      <c r="B4" s="537"/>
    </row>
    <row r="5" ht="12" customHeight="1">
      <c r="B5" s="537"/>
    </row>
    <row r="6" ht="12" customHeight="1">
      <c r="B6" s="541" t="s">
        <v>402</v>
      </c>
    </row>
    <row r="8" ht="12" customHeight="1">
      <c r="B8" s="536" t="s">
        <v>398</v>
      </c>
    </row>
    <row r="10" spans="1:6" ht="12" customHeight="1">
      <c r="A10" s="782"/>
      <c r="B10" s="808" t="s">
        <v>399</v>
      </c>
      <c r="C10" s="783"/>
      <c r="D10" s="784"/>
      <c r="E10" s="785"/>
      <c r="F10" s="786" t="s">
        <v>1281</v>
      </c>
    </row>
    <row r="11" spans="1:6" ht="12" customHeight="1">
      <c r="A11" s="809" t="s">
        <v>422</v>
      </c>
      <c r="B11" s="810" t="s">
        <v>423</v>
      </c>
      <c r="C11" s="811" t="s">
        <v>424</v>
      </c>
      <c r="D11" s="812" t="s">
        <v>425</v>
      </c>
      <c r="E11" s="813" t="s">
        <v>1454</v>
      </c>
      <c r="F11" s="814" t="s">
        <v>426</v>
      </c>
    </row>
    <row r="12" spans="1:6" ht="12" customHeight="1">
      <c r="A12" s="815">
        <v>1</v>
      </c>
      <c r="B12" s="816">
        <v>2</v>
      </c>
      <c r="C12" s="817">
        <v>3</v>
      </c>
      <c r="D12" s="818">
        <v>4</v>
      </c>
      <c r="E12" s="818">
        <v>5</v>
      </c>
      <c r="F12" s="819">
        <v>6</v>
      </c>
    </row>
    <row r="13" spans="1:6" ht="12" customHeight="1">
      <c r="A13" s="795" t="s">
        <v>427</v>
      </c>
      <c r="B13" s="820" t="s">
        <v>399</v>
      </c>
      <c r="C13" s="797" t="s">
        <v>428</v>
      </c>
      <c r="D13" s="798">
        <f>+Ulaz!D9</f>
        <v>0</v>
      </c>
      <c r="E13" s="798">
        <f>+Ulaz!E9</f>
        <v>0</v>
      </c>
      <c r="F13" s="798">
        <f>+Ulaz!F9</f>
        <v>0</v>
      </c>
    </row>
    <row r="14" spans="1:6" ht="12" customHeight="1">
      <c r="A14" s="795"/>
      <c r="B14" s="804" t="s">
        <v>429</v>
      </c>
      <c r="C14" s="797" t="s">
        <v>430</v>
      </c>
      <c r="D14" s="798">
        <f>+Ulaz!D10</f>
        <v>163176</v>
      </c>
      <c r="E14" s="798">
        <f>+Ulaz!E10</f>
        <v>116952</v>
      </c>
      <c r="F14" s="798">
        <f>+Ulaz!F10</f>
        <v>46224</v>
      </c>
    </row>
    <row r="15" spans="1:6" ht="12" customHeight="1">
      <c r="A15" s="802"/>
      <c r="B15" s="803" t="s">
        <v>431</v>
      </c>
      <c r="C15" s="797" t="s">
        <v>432</v>
      </c>
      <c r="D15" s="798">
        <f>+Ulaz!D11</f>
        <v>0</v>
      </c>
      <c r="E15" s="798">
        <f>+Ulaz!E11</f>
        <v>0</v>
      </c>
      <c r="F15" s="798">
        <f>+Ulaz!F11</f>
        <v>0</v>
      </c>
    </row>
    <row r="16" spans="1:6" ht="12" customHeight="1">
      <c r="A16" s="802" t="s">
        <v>56</v>
      </c>
      <c r="B16" s="803" t="s">
        <v>433</v>
      </c>
      <c r="C16" s="797" t="s">
        <v>434</v>
      </c>
      <c r="D16" s="798">
        <f>+Ulaz!D12</f>
        <v>0</v>
      </c>
      <c r="E16" s="798">
        <f>+Ulaz!E12</f>
        <v>0</v>
      </c>
      <c r="F16" s="798">
        <f>+Ulaz!F12</f>
        <v>0</v>
      </c>
    </row>
    <row r="17" spans="1:6" ht="12" customHeight="1">
      <c r="A17" s="802" t="s">
        <v>435</v>
      </c>
      <c r="B17" s="803" t="s">
        <v>436</v>
      </c>
      <c r="C17" s="797" t="s">
        <v>437</v>
      </c>
      <c r="D17" s="798">
        <f>+Ulaz!D13</f>
        <v>0</v>
      </c>
      <c r="E17" s="798">
        <f>+Ulaz!E13</f>
        <v>0</v>
      </c>
      <c r="F17" s="798">
        <f>+Ulaz!F13</f>
        <v>0</v>
      </c>
    </row>
    <row r="18" spans="1:6" ht="12" customHeight="1">
      <c r="A18" s="802" t="s">
        <v>594</v>
      </c>
      <c r="B18" s="804" t="s">
        <v>438</v>
      </c>
      <c r="C18" s="797" t="s">
        <v>439</v>
      </c>
      <c r="D18" s="798">
        <f>+Ulaz!D14</f>
        <v>0</v>
      </c>
      <c r="E18" s="798">
        <f>+Ulaz!E14</f>
        <v>0</v>
      </c>
      <c r="F18" s="798">
        <f>+Ulaz!F14</f>
        <v>0</v>
      </c>
    </row>
    <row r="19" spans="1:6" ht="12" customHeight="1">
      <c r="A19" s="802" t="s">
        <v>595</v>
      </c>
      <c r="B19" s="804" t="s">
        <v>440</v>
      </c>
      <c r="C19" s="797" t="s">
        <v>441</v>
      </c>
      <c r="D19" s="798">
        <f>+Ulaz!D15</f>
        <v>0</v>
      </c>
      <c r="E19" s="798">
        <f>+Ulaz!E15</f>
        <v>0</v>
      </c>
      <c r="F19" s="798">
        <f>+Ulaz!F15</f>
        <v>0</v>
      </c>
    </row>
    <row r="20" spans="1:6" ht="12" customHeight="1">
      <c r="A20" s="802" t="s">
        <v>442</v>
      </c>
      <c r="B20" s="804" t="s">
        <v>443</v>
      </c>
      <c r="C20" s="797" t="s">
        <v>444</v>
      </c>
      <c r="D20" s="798">
        <f>+Ulaz!D16</f>
        <v>0</v>
      </c>
      <c r="E20" s="798">
        <f>+Ulaz!E16</f>
        <v>0</v>
      </c>
      <c r="F20" s="798">
        <f>+Ulaz!F16</f>
        <v>0</v>
      </c>
    </row>
    <row r="21" spans="1:6" ht="12" customHeight="1">
      <c r="A21" s="802"/>
      <c r="B21" s="804" t="s">
        <v>445</v>
      </c>
      <c r="C21" s="797" t="s">
        <v>446</v>
      </c>
      <c r="D21" s="798">
        <f>+Ulaz!D17</f>
        <v>155983</v>
      </c>
      <c r="E21" s="798">
        <f>+Ulaz!E17</f>
        <v>116952</v>
      </c>
      <c r="F21" s="798">
        <f>+Ulaz!F17</f>
        <v>39031</v>
      </c>
    </row>
    <row r="22" spans="1:6" ht="12" customHeight="1">
      <c r="A22" s="802" t="s">
        <v>447</v>
      </c>
      <c r="B22" s="804" t="s">
        <v>448</v>
      </c>
      <c r="C22" s="797" t="s">
        <v>56</v>
      </c>
      <c r="D22" s="798">
        <f>+Ulaz!D18</f>
        <v>19472</v>
      </c>
      <c r="E22" s="798">
        <f>+Ulaz!E18</f>
        <v>0</v>
      </c>
      <c r="F22" s="798">
        <f>+Ulaz!F18</f>
        <v>19472</v>
      </c>
    </row>
    <row r="23" spans="1:6" ht="12" customHeight="1">
      <c r="A23" s="802" t="s">
        <v>449</v>
      </c>
      <c r="B23" s="804" t="s">
        <v>450</v>
      </c>
      <c r="C23" s="797" t="s">
        <v>57</v>
      </c>
      <c r="D23" s="798">
        <f>+Ulaz!D19</f>
        <v>10649</v>
      </c>
      <c r="E23" s="798">
        <f>+Ulaz!E19</f>
        <v>8398</v>
      </c>
      <c r="F23" s="798">
        <f>+Ulaz!F19</f>
        <v>2251</v>
      </c>
    </row>
    <row r="24" spans="1:6" ht="12" customHeight="1">
      <c r="A24" s="802" t="s">
        <v>451</v>
      </c>
      <c r="B24" s="804" t="s">
        <v>452</v>
      </c>
      <c r="C24" s="797" t="s">
        <v>593</v>
      </c>
      <c r="D24" s="798">
        <f>+Ulaz!D20</f>
        <v>125862</v>
      </c>
      <c r="E24" s="798">
        <f>+Ulaz!E20</f>
        <v>108554</v>
      </c>
      <c r="F24" s="798">
        <f>+Ulaz!F20</f>
        <v>17308</v>
      </c>
    </row>
    <row r="25" spans="1:6" ht="12" customHeight="1">
      <c r="A25" s="802" t="s">
        <v>453</v>
      </c>
      <c r="B25" s="804" t="s">
        <v>454</v>
      </c>
      <c r="C25" s="797" t="s">
        <v>594</v>
      </c>
      <c r="D25" s="798">
        <f>+Ulaz!D21</f>
        <v>0</v>
      </c>
      <c r="E25" s="798">
        <f>+Ulaz!E21</f>
        <v>0</v>
      </c>
      <c r="F25" s="798">
        <f>+Ulaz!F21</f>
        <v>0</v>
      </c>
    </row>
    <row r="26" spans="1:6" ht="12" customHeight="1">
      <c r="A26" s="802" t="s">
        <v>890</v>
      </c>
      <c r="B26" s="804" t="s">
        <v>455</v>
      </c>
      <c r="C26" s="797" t="s">
        <v>595</v>
      </c>
      <c r="D26" s="798">
        <f>+Ulaz!D22</f>
        <v>0</v>
      </c>
      <c r="E26" s="798">
        <f>+Ulaz!E22</f>
        <v>0</v>
      </c>
      <c r="F26" s="798">
        <f>+Ulaz!F22</f>
        <v>0</v>
      </c>
    </row>
    <row r="27" spans="1:6" ht="12" customHeight="1">
      <c r="A27" s="802" t="s">
        <v>456</v>
      </c>
      <c r="B27" s="804" t="s">
        <v>457</v>
      </c>
      <c r="C27" s="797" t="s">
        <v>596</v>
      </c>
      <c r="D27" s="798">
        <f>+Ulaz!D23</f>
        <v>0</v>
      </c>
      <c r="E27" s="798">
        <f>+Ulaz!E23</f>
        <v>0</v>
      </c>
      <c r="F27" s="798">
        <f>+Ulaz!F23</f>
        <v>0</v>
      </c>
    </row>
    <row r="28" spans="1:6" ht="12" customHeight="1">
      <c r="A28" s="802" t="s">
        <v>458</v>
      </c>
      <c r="B28" s="804" t="s">
        <v>459</v>
      </c>
      <c r="C28" s="797" t="s">
        <v>597</v>
      </c>
      <c r="D28" s="798">
        <f>+Ulaz!D24</f>
        <v>0</v>
      </c>
      <c r="E28" s="798">
        <f>+Ulaz!E24</f>
        <v>0</v>
      </c>
      <c r="F28" s="798">
        <f>+Ulaz!F24</f>
        <v>0</v>
      </c>
    </row>
    <row r="29" spans="1:6" ht="12" customHeight="1">
      <c r="A29" s="802"/>
      <c r="B29" s="804" t="s">
        <v>460</v>
      </c>
      <c r="C29" s="797" t="s">
        <v>598</v>
      </c>
      <c r="D29" s="798">
        <f>+Ulaz!D25</f>
        <v>7193</v>
      </c>
      <c r="E29" s="798">
        <f>+Ulaz!E25</f>
        <v>0</v>
      </c>
      <c r="F29" s="798">
        <f>+Ulaz!F25</f>
        <v>7193</v>
      </c>
    </row>
    <row r="30" spans="1:6" ht="12" customHeight="1">
      <c r="A30" s="802" t="s">
        <v>461</v>
      </c>
      <c r="B30" s="804" t="s">
        <v>462</v>
      </c>
      <c r="C30" s="797" t="s">
        <v>463</v>
      </c>
      <c r="D30" s="798">
        <f>+Ulaz!D26</f>
        <v>0</v>
      </c>
      <c r="E30" s="798">
        <f>+Ulaz!E26</f>
        <v>0</v>
      </c>
      <c r="F30" s="798">
        <f>+Ulaz!F26</f>
        <v>0</v>
      </c>
    </row>
    <row r="31" spans="1:6" ht="12" customHeight="1">
      <c r="A31" s="802" t="s">
        <v>464</v>
      </c>
      <c r="B31" s="804" t="s">
        <v>465</v>
      </c>
      <c r="C31" s="797" t="s">
        <v>599</v>
      </c>
      <c r="D31" s="798">
        <f>+Ulaz!D27</f>
        <v>7193</v>
      </c>
      <c r="E31" s="798">
        <f>+Ulaz!E27</f>
        <v>0</v>
      </c>
      <c r="F31" s="798">
        <f>+Ulaz!F27</f>
        <v>7193</v>
      </c>
    </row>
    <row r="32" spans="1:6" ht="12" customHeight="1">
      <c r="A32" s="802" t="s">
        <v>466</v>
      </c>
      <c r="B32" s="804" t="s">
        <v>467</v>
      </c>
      <c r="C32" s="797" t="s">
        <v>600</v>
      </c>
      <c r="D32" s="798">
        <f>+Ulaz!D28</f>
        <v>0</v>
      </c>
      <c r="E32" s="798">
        <f>+Ulaz!E28</f>
        <v>0</v>
      </c>
      <c r="F32" s="798">
        <f>+Ulaz!F28</f>
        <v>0</v>
      </c>
    </row>
    <row r="33" spans="1:6" ht="12" customHeight="1">
      <c r="A33" s="802" t="s">
        <v>468</v>
      </c>
      <c r="B33" s="804" t="s">
        <v>469</v>
      </c>
      <c r="C33" s="797" t="s">
        <v>470</v>
      </c>
      <c r="D33" s="798">
        <f>+Ulaz!D29</f>
        <v>0</v>
      </c>
      <c r="E33" s="798">
        <f>+Ulaz!E29</f>
        <v>0</v>
      </c>
      <c r="F33" s="798">
        <f>+Ulaz!F29</f>
        <v>0</v>
      </c>
    </row>
    <row r="34" spans="1:6" ht="12" customHeight="1">
      <c r="A34" s="802" t="s">
        <v>471</v>
      </c>
      <c r="B34" s="804" t="s">
        <v>472</v>
      </c>
      <c r="C34" s="797" t="s">
        <v>449</v>
      </c>
      <c r="D34" s="798">
        <f>+Ulaz!D30</f>
        <v>0</v>
      </c>
      <c r="E34" s="798">
        <f>+Ulaz!E30</f>
        <v>0</v>
      </c>
      <c r="F34" s="798">
        <f>+Ulaz!F30</f>
        <v>0</v>
      </c>
    </row>
    <row r="35" spans="1:6" ht="12" customHeight="1">
      <c r="A35" s="802" t="s">
        <v>473</v>
      </c>
      <c r="B35" s="804" t="s">
        <v>474</v>
      </c>
      <c r="C35" s="797" t="s">
        <v>451</v>
      </c>
      <c r="D35" s="798">
        <f>+Ulaz!D32</f>
        <v>0</v>
      </c>
      <c r="E35" s="798">
        <f>+Ulaz!E32</f>
        <v>0</v>
      </c>
      <c r="F35" s="798">
        <f>+Ulaz!F32</f>
        <v>0</v>
      </c>
    </row>
    <row r="36" spans="1:6" ht="12" customHeight="1">
      <c r="A36" s="802" t="s">
        <v>475</v>
      </c>
      <c r="B36" s="804" t="s">
        <v>476</v>
      </c>
      <c r="C36" s="797" t="s">
        <v>453</v>
      </c>
      <c r="D36" s="798">
        <f>+Ulaz!D33</f>
        <v>20877</v>
      </c>
      <c r="E36" s="798">
        <f>+Ulaz!E33</f>
        <v>0</v>
      </c>
      <c r="F36" s="798">
        <f>+Ulaz!F33</f>
        <v>20877</v>
      </c>
    </row>
    <row r="37" spans="1:6" ht="12" customHeight="1">
      <c r="A37" s="802"/>
      <c r="B37" s="804" t="s">
        <v>477</v>
      </c>
      <c r="C37" s="797" t="s">
        <v>478</v>
      </c>
      <c r="D37" s="798">
        <f>+Ulaz!D34</f>
        <v>4228</v>
      </c>
      <c r="E37" s="798">
        <f>+Ulaz!E34</f>
        <v>0</v>
      </c>
      <c r="F37" s="798">
        <f>+Ulaz!F34</f>
        <v>4228</v>
      </c>
    </row>
    <row r="38" spans="1:6" ht="12" customHeight="1">
      <c r="A38" s="802"/>
      <c r="B38" s="804" t="s">
        <v>479</v>
      </c>
      <c r="C38" s="797" t="s">
        <v>890</v>
      </c>
      <c r="D38" s="798">
        <f>+Ulaz!D35</f>
        <v>4065</v>
      </c>
      <c r="E38" s="798">
        <f>+Ulaz!E35</f>
        <v>0</v>
      </c>
      <c r="F38" s="798">
        <f>+Ulaz!F35</f>
        <v>4065</v>
      </c>
    </row>
    <row r="39" spans="1:6" ht="12" customHeight="1">
      <c r="A39" s="802" t="s">
        <v>1125</v>
      </c>
      <c r="B39" s="804" t="s">
        <v>480</v>
      </c>
      <c r="C39" s="797" t="s">
        <v>456</v>
      </c>
      <c r="D39" s="798">
        <f>+Ulaz!D36</f>
        <v>0</v>
      </c>
      <c r="E39" s="798">
        <f>+Ulaz!E36</f>
        <v>0</v>
      </c>
      <c r="F39" s="798">
        <f>+Ulaz!F36</f>
        <v>0</v>
      </c>
    </row>
    <row r="40" spans="1:6" ht="12" customHeight="1">
      <c r="A40" s="802" t="s">
        <v>1138</v>
      </c>
      <c r="B40" s="804" t="s">
        <v>481</v>
      </c>
      <c r="C40" s="797" t="s">
        <v>482</v>
      </c>
      <c r="D40" s="798">
        <f>+Ulaz!D37</f>
        <v>0</v>
      </c>
      <c r="E40" s="798">
        <f>+Ulaz!E37</f>
        <v>0</v>
      </c>
      <c r="F40" s="798">
        <f>+Ulaz!F37</f>
        <v>0</v>
      </c>
    </row>
    <row r="41" spans="1:6" ht="12" customHeight="1">
      <c r="A41" s="802" t="s">
        <v>1139</v>
      </c>
      <c r="B41" s="804" t="s">
        <v>483</v>
      </c>
      <c r="C41" s="797" t="s">
        <v>484</v>
      </c>
      <c r="D41" s="798">
        <f>+Ulaz!D38</f>
        <v>0</v>
      </c>
      <c r="E41" s="798">
        <f>+Ulaz!E38</f>
        <v>0</v>
      </c>
      <c r="F41" s="798">
        <f>+Ulaz!F38</f>
        <v>0</v>
      </c>
    </row>
    <row r="42" spans="1:6" ht="12" customHeight="1">
      <c r="A42" s="802" t="s">
        <v>1140</v>
      </c>
      <c r="B42" s="804" t="s">
        <v>485</v>
      </c>
      <c r="C42" s="797" t="s">
        <v>461</v>
      </c>
      <c r="D42" s="798">
        <f>+Ulaz!D39</f>
        <v>163</v>
      </c>
      <c r="E42" s="798">
        <f>+Ulaz!E39</f>
        <v>0</v>
      </c>
      <c r="F42" s="798">
        <f>+Ulaz!F39</f>
        <v>163</v>
      </c>
    </row>
    <row r="43" spans="1:6" ht="12" customHeight="1">
      <c r="A43" s="802" t="s">
        <v>1141</v>
      </c>
      <c r="B43" s="804" t="s">
        <v>486</v>
      </c>
      <c r="C43" s="797" t="s">
        <v>464</v>
      </c>
      <c r="D43" s="798">
        <f>+Ulaz!D40</f>
        <v>16330</v>
      </c>
      <c r="E43" s="798">
        <f>+Ulaz!E40</f>
        <v>0</v>
      </c>
      <c r="F43" s="798">
        <f>+Ulaz!F40</f>
        <v>16330</v>
      </c>
    </row>
    <row r="44" spans="1:6" ht="12" customHeight="1">
      <c r="A44" s="802"/>
      <c r="B44" s="804" t="s">
        <v>487</v>
      </c>
      <c r="C44" s="797" t="s">
        <v>466</v>
      </c>
      <c r="D44" s="798">
        <f>+Ulaz!D41</f>
        <v>16330</v>
      </c>
      <c r="E44" s="798">
        <f>+Ulaz!E41</f>
        <v>0</v>
      </c>
      <c r="F44" s="798">
        <f>+Ulaz!F41</f>
        <v>16330</v>
      </c>
    </row>
    <row r="45" spans="1:6" ht="12" customHeight="1">
      <c r="A45" s="802"/>
      <c r="B45" s="804" t="s">
        <v>488</v>
      </c>
      <c r="C45" s="797" t="s">
        <v>489</v>
      </c>
      <c r="D45" s="798">
        <f>+Ulaz!D42</f>
        <v>0</v>
      </c>
      <c r="E45" s="798">
        <f>+Ulaz!E42</f>
        <v>0</v>
      </c>
      <c r="F45" s="798">
        <f>+Ulaz!F42</f>
        <v>0</v>
      </c>
    </row>
    <row r="46" spans="1:6" ht="12" customHeight="1">
      <c r="A46" s="802" t="s">
        <v>490</v>
      </c>
      <c r="B46" s="804" t="s">
        <v>491</v>
      </c>
      <c r="C46" s="797" t="s">
        <v>492</v>
      </c>
      <c r="D46" s="798">
        <f>+Ulaz!D43</f>
        <v>16309</v>
      </c>
      <c r="E46" s="798">
        <f>+Ulaz!E43</f>
        <v>0</v>
      </c>
      <c r="F46" s="798">
        <f>+Ulaz!F43</f>
        <v>16309</v>
      </c>
    </row>
    <row r="47" spans="1:6" ht="12" customHeight="1">
      <c r="A47" s="802" t="s">
        <v>493</v>
      </c>
      <c r="B47" s="804" t="s">
        <v>494</v>
      </c>
      <c r="C47" s="797" t="s">
        <v>471</v>
      </c>
      <c r="D47" s="798">
        <f>+Ulaz!D44</f>
        <v>10</v>
      </c>
      <c r="E47" s="798">
        <f>+Ulaz!E44</f>
        <v>0</v>
      </c>
      <c r="F47" s="798">
        <f>+Ulaz!F44</f>
        <v>10</v>
      </c>
    </row>
    <row r="48" spans="1:6" ht="12" customHeight="1">
      <c r="A48" s="802" t="s">
        <v>1142</v>
      </c>
      <c r="B48" s="804" t="s">
        <v>495</v>
      </c>
      <c r="C48" s="797" t="s">
        <v>473</v>
      </c>
      <c r="D48" s="798">
        <f>+Ulaz!D45</f>
        <v>11</v>
      </c>
      <c r="E48" s="798">
        <f>+Ulaz!E45</f>
        <v>0</v>
      </c>
      <c r="F48" s="798">
        <f>+Ulaz!F45</f>
        <v>11</v>
      </c>
    </row>
    <row r="49" spans="1:6" ht="12" customHeight="1">
      <c r="A49" s="802" t="s">
        <v>496</v>
      </c>
      <c r="B49" s="804" t="s">
        <v>497</v>
      </c>
      <c r="C49" s="797" t="s">
        <v>498</v>
      </c>
      <c r="D49" s="798">
        <f>+Ulaz!D46</f>
        <v>0</v>
      </c>
      <c r="E49" s="798">
        <f>+Ulaz!E46</f>
        <v>0</v>
      </c>
      <c r="F49" s="798">
        <f>+Ulaz!F46</f>
        <v>0</v>
      </c>
    </row>
    <row r="50" spans="1:6" ht="12" customHeight="1">
      <c r="A50" s="802"/>
      <c r="B50" s="804" t="s">
        <v>499</v>
      </c>
      <c r="C50" s="797" t="s">
        <v>500</v>
      </c>
      <c r="D50" s="798">
        <f>+Ulaz!D47</f>
        <v>0</v>
      </c>
      <c r="E50" s="798">
        <f>+Ulaz!E47</f>
        <v>0</v>
      </c>
      <c r="F50" s="798">
        <f>+Ulaz!F47</f>
        <v>0</v>
      </c>
    </row>
    <row r="51" spans="1:6" ht="12" customHeight="1">
      <c r="A51" s="802" t="s">
        <v>1143</v>
      </c>
      <c r="B51" s="804" t="s">
        <v>501</v>
      </c>
      <c r="C51" s="797" t="s">
        <v>475</v>
      </c>
      <c r="D51" s="798">
        <f>+Ulaz!D48</f>
        <v>0</v>
      </c>
      <c r="E51" s="798">
        <f>+Ulaz!E48</f>
        <v>0</v>
      </c>
      <c r="F51" s="798">
        <f>+Ulaz!F48</f>
        <v>0</v>
      </c>
    </row>
    <row r="52" spans="1:6" ht="12" customHeight="1">
      <c r="A52" s="802" t="s">
        <v>502</v>
      </c>
      <c r="B52" s="804" t="s">
        <v>503</v>
      </c>
      <c r="C52" s="797" t="s">
        <v>504</v>
      </c>
      <c r="D52" s="798">
        <f>+Ulaz!D49</f>
        <v>0</v>
      </c>
      <c r="E52" s="798">
        <f>+Ulaz!E49</f>
        <v>0</v>
      </c>
      <c r="F52" s="798">
        <f>+Ulaz!F49</f>
        <v>0</v>
      </c>
    </row>
    <row r="53" spans="1:6" ht="12" customHeight="1">
      <c r="A53" s="802" t="s">
        <v>505</v>
      </c>
      <c r="B53" s="804" t="s">
        <v>506</v>
      </c>
      <c r="C53" s="797" t="s">
        <v>507</v>
      </c>
      <c r="D53" s="798">
        <f>+Ulaz!D50</f>
        <v>0</v>
      </c>
      <c r="E53" s="798">
        <f>+Ulaz!E50</f>
        <v>0</v>
      </c>
      <c r="F53" s="798">
        <f>+Ulaz!F50</f>
        <v>0</v>
      </c>
    </row>
    <row r="54" spans="1:6" ht="12" customHeight="1">
      <c r="A54" s="802" t="s">
        <v>1144</v>
      </c>
      <c r="B54" s="804" t="s">
        <v>508</v>
      </c>
      <c r="C54" s="797" t="s">
        <v>509</v>
      </c>
      <c r="D54" s="798">
        <f>+Ulaz!D51</f>
        <v>0</v>
      </c>
      <c r="E54" s="798">
        <f>+Ulaz!E51</f>
        <v>0</v>
      </c>
      <c r="F54" s="798">
        <f>+Ulaz!F51</f>
        <v>0</v>
      </c>
    </row>
    <row r="55" spans="1:6" ht="12" customHeight="1">
      <c r="A55" s="802" t="s">
        <v>1091</v>
      </c>
      <c r="B55" s="804" t="s">
        <v>510</v>
      </c>
      <c r="C55" s="797" t="s">
        <v>511</v>
      </c>
      <c r="D55" s="798">
        <f>+Ulaz!D52</f>
        <v>0</v>
      </c>
      <c r="E55" s="798">
        <f>+Ulaz!E52</f>
        <v>0</v>
      </c>
      <c r="F55" s="798">
        <f>+Ulaz!F52</f>
        <v>0</v>
      </c>
    </row>
    <row r="56" spans="1:6" ht="12" customHeight="1">
      <c r="A56" s="802"/>
      <c r="B56" s="804" t="s">
        <v>512</v>
      </c>
      <c r="C56" s="797" t="s">
        <v>513</v>
      </c>
      <c r="D56" s="798">
        <f>+Ulaz!D53</f>
        <v>319</v>
      </c>
      <c r="E56" s="798">
        <f>+Ulaz!E53</f>
        <v>0</v>
      </c>
      <c r="F56" s="798">
        <f>+Ulaz!F53</f>
        <v>319</v>
      </c>
    </row>
    <row r="57" spans="1:6" ht="12" customHeight="1">
      <c r="A57" s="802" t="s">
        <v>1145</v>
      </c>
      <c r="B57" s="804" t="s">
        <v>514</v>
      </c>
      <c r="C57" s="797" t="s">
        <v>515</v>
      </c>
      <c r="D57" s="798">
        <f>+Ulaz!D54</f>
        <v>0</v>
      </c>
      <c r="E57" s="798">
        <f>+Ulaz!E54</f>
        <v>0</v>
      </c>
      <c r="F57" s="798">
        <f>+Ulaz!F54</f>
        <v>0</v>
      </c>
    </row>
    <row r="58" spans="1:6" ht="12" customHeight="1">
      <c r="A58" s="802" t="s">
        <v>516</v>
      </c>
      <c r="B58" s="804" t="s">
        <v>517</v>
      </c>
      <c r="C58" s="797" t="s">
        <v>518</v>
      </c>
      <c r="D58" s="798">
        <f>+Ulaz!D55</f>
        <v>319</v>
      </c>
      <c r="E58" s="798">
        <f>+Ulaz!E55</f>
        <v>0</v>
      </c>
      <c r="F58" s="798">
        <f>+Ulaz!F55</f>
        <v>319</v>
      </c>
    </row>
    <row r="59" spans="1:6" ht="12" customHeight="1">
      <c r="A59" s="802" t="s">
        <v>1116</v>
      </c>
      <c r="B59" s="804" t="s">
        <v>519</v>
      </c>
      <c r="C59" s="797" t="s">
        <v>520</v>
      </c>
      <c r="D59" s="798">
        <f>+Ulaz!D56</f>
        <v>0</v>
      </c>
      <c r="E59" s="798">
        <f>+Ulaz!E56</f>
        <v>0</v>
      </c>
      <c r="F59" s="798">
        <f>+Ulaz!F56</f>
        <v>0</v>
      </c>
    </row>
    <row r="60" spans="1:6" ht="12" customHeight="1">
      <c r="A60" s="802"/>
      <c r="B60" s="804" t="s">
        <v>521</v>
      </c>
      <c r="C60" s="797" t="s">
        <v>522</v>
      </c>
      <c r="D60" s="798">
        <f>+Ulaz!D57</f>
        <v>184053</v>
      </c>
      <c r="E60" s="798">
        <f>+Ulaz!E57</f>
        <v>116952</v>
      </c>
      <c r="F60" s="798">
        <f>+Ulaz!F57</f>
        <v>67101</v>
      </c>
    </row>
    <row r="61" spans="1:6" ht="12" customHeight="1">
      <c r="A61" s="802" t="s">
        <v>1117</v>
      </c>
      <c r="B61" s="804" t="s">
        <v>523</v>
      </c>
      <c r="C61" s="797" t="s">
        <v>524</v>
      </c>
      <c r="D61" s="798">
        <f>+Ulaz!D58</f>
        <v>28610</v>
      </c>
      <c r="E61" s="798">
        <f>+Ulaz!E58</f>
        <v>0</v>
      </c>
      <c r="F61" s="798">
        <f>+Ulaz!F58</f>
        <v>28610</v>
      </c>
    </row>
    <row r="62" spans="1:6" ht="12" customHeight="1">
      <c r="A62" s="802" t="s">
        <v>525</v>
      </c>
      <c r="B62" s="804" t="s">
        <v>526</v>
      </c>
      <c r="C62" s="797" t="s">
        <v>527</v>
      </c>
      <c r="D62" s="798">
        <f>+Ulaz!D59</f>
        <v>28610</v>
      </c>
      <c r="E62" s="798">
        <f>+Ulaz!E59</f>
        <v>0</v>
      </c>
      <c r="F62" s="798">
        <f>+Ulaz!F59</f>
        <v>28610</v>
      </c>
    </row>
    <row r="63" spans="1:6" ht="12" customHeight="1">
      <c r="A63" s="802" t="s">
        <v>528</v>
      </c>
      <c r="B63" s="804" t="s">
        <v>529</v>
      </c>
      <c r="C63" s="797" t="s">
        <v>530</v>
      </c>
      <c r="D63" s="798">
        <f>+Ulaz!D60</f>
        <v>0</v>
      </c>
      <c r="E63" s="798">
        <f>+Ulaz!E60</f>
        <v>0</v>
      </c>
      <c r="F63" s="798">
        <f>+Ulaz!F60</f>
        <v>0</v>
      </c>
    </row>
    <row r="64" spans="1:6" ht="12" customHeight="1">
      <c r="A64" s="802"/>
      <c r="B64" s="804" t="s">
        <v>531</v>
      </c>
      <c r="C64" s="797" t="s">
        <v>532</v>
      </c>
      <c r="D64" s="798">
        <f>+Ulaz!D61</f>
        <v>212663</v>
      </c>
      <c r="E64" s="798">
        <f>+Ulaz!E61</f>
        <v>116952</v>
      </c>
      <c r="F64" s="798">
        <f>+Ulaz!F61</f>
        <v>95711</v>
      </c>
    </row>
    <row r="65" spans="1:6" ht="12" customHeight="1">
      <c r="A65" s="802" t="s">
        <v>1133</v>
      </c>
      <c r="B65" s="804" t="s">
        <v>533</v>
      </c>
      <c r="C65" s="797" t="s">
        <v>534</v>
      </c>
      <c r="D65" s="798">
        <f>+Ulaz!D62</f>
        <v>0</v>
      </c>
      <c r="E65" s="798">
        <f>+Ulaz!E62</f>
        <v>0</v>
      </c>
      <c r="F65" s="798">
        <f>+Ulaz!F62</f>
        <v>0</v>
      </c>
    </row>
    <row r="66" spans="1:6" ht="12" customHeight="1">
      <c r="A66" s="802"/>
      <c r="B66" s="804" t="s">
        <v>535</v>
      </c>
      <c r="C66" s="797" t="s">
        <v>536</v>
      </c>
      <c r="D66" s="798">
        <f>+Ulaz!D63</f>
        <v>212663</v>
      </c>
      <c r="E66" s="798">
        <f>+Ulaz!E63</f>
        <v>116952</v>
      </c>
      <c r="F66" s="798">
        <f>+Ulaz!F63</f>
        <v>95711</v>
      </c>
    </row>
    <row r="67" spans="1:6" ht="12" customHeight="1">
      <c r="A67" s="805" t="s">
        <v>1136</v>
      </c>
      <c r="B67" s="806" t="s">
        <v>537</v>
      </c>
      <c r="C67" s="807" t="s">
        <v>538</v>
      </c>
      <c r="D67" s="798">
        <f>+Ulaz!D64</f>
        <v>2886</v>
      </c>
      <c r="E67" s="798">
        <f>+Ulaz!E64</f>
        <v>0</v>
      </c>
      <c r="F67" s="798">
        <f>+Ulaz!F64</f>
        <v>2886</v>
      </c>
    </row>
    <row r="69" ht="7.5" customHeight="1"/>
    <row r="70" spans="1:5" ht="16.5" customHeight="1">
      <c r="A70" s="782"/>
      <c r="B70" s="823" t="s">
        <v>1491</v>
      </c>
      <c r="C70" s="783"/>
      <c r="D70" s="821"/>
      <c r="E70" s="369"/>
    </row>
    <row r="71" spans="1:5" ht="12" customHeight="1">
      <c r="A71" s="787" t="s">
        <v>539</v>
      </c>
      <c r="B71" s="788" t="s">
        <v>423</v>
      </c>
      <c r="C71" s="789" t="s">
        <v>424</v>
      </c>
      <c r="D71" s="790" t="s">
        <v>426</v>
      </c>
      <c r="E71" s="369"/>
    </row>
    <row r="72" spans="1:5" ht="12" customHeight="1">
      <c r="A72" s="791">
        <v>1</v>
      </c>
      <c r="B72" s="792">
        <v>2</v>
      </c>
      <c r="C72" s="793">
        <v>3</v>
      </c>
      <c r="D72" s="794">
        <v>4</v>
      </c>
      <c r="E72" s="369"/>
    </row>
    <row r="73" spans="1:5" ht="12" customHeight="1">
      <c r="A73" s="795"/>
      <c r="B73" s="796" t="s">
        <v>1491</v>
      </c>
      <c r="C73" s="800" t="s">
        <v>200</v>
      </c>
      <c r="D73" s="801">
        <f>+Ulaz!F71</f>
        <v>77921</v>
      </c>
      <c r="E73" s="369"/>
    </row>
    <row r="74" spans="1:5" ht="12" customHeight="1">
      <c r="A74" s="795"/>
      <c r="B74" s="799" t="s">
        <v>540</v>
      </c>
      <c r="C74" s="800" t="s">
        <v>201</v>
      </c>
      <c r="D74" s="801">
        <f>+Ulaz!F72</f>
        <v>50252</v>
      </c>
      <c r="E74" s="369"/>
    </row>
    <row r="75" spans="1:5" ht="12" customHeight="1">
      <c r="A75" s="802" t="s">
        <v>1180</v>
      </c>
      <c r="B75" s="803" t="s">
        <v>541</v>
      </c>
      <c r="C75" s="797" t="s">
        <v>837</v>
      </c>
      <c r="D75" s="801">
        <f>+Ulaz!F73</f>
        <v>1126</v>
      </c>
      <c r="E75" s="369"/>
    </row>
    <row r="76" spans="1:5" ht="12" customHeight="1">
      <c r="A76" s="802" t="s">
        <v>1181</v>
      </c>
      <c r="B76" s="803" t="s">
        <v>542</v>
      </c>
      <c r="C76" s="797" t="s">
        <v>202</v>
      </c>
      <c r="D76" s="801">
        <f>+Ulaz!F74</f>
        <v>0</v>
      </c>
      <c r="E76" s="369"/>
    </row>
    <row r="77" spans="1:5" ht="12" customHeight="1">
      <c r="A77" s="802" t="s">
        <v>543</v>
      </c>
      <c r="B77" s="803" t="s">
        <v>544</v>
      </c>
      <c r="C77" s="797" t="s">
        <v>1128</v>
      </c>
      <c r="D77" s="801">
        <f>+Ulaz!F75</f>
        <v>0</v>
      </c>
      <c r="E77" s="369"/>
    </row>
    <row r="78" spans="1:5" ht="12" customHeight="1">
      <c r="A78" s="802" t="s">
        <v>545</v>
      </c>
      <c r="B78" s="804" t="s">
        <v>546</v>
      </c>
      <c r="C78" s="797" t="s">
        <v>203</v>
      </c>
      <c r="D78" s="801">
        <f>+Ulaz!F76</f>
        <v>0</v>
      </c>
      <c r="E78" s="369"/>
    </row>
    <row r="79" spans="1:5" ht="12" customHeight="1">
      <c r="A79" s="802" t="s">
        <v>547</v>
      </c>
      <c r="B79" s="804" t="s">
        <v>548</v>
      </c>
      <c r="C79" s="797" t="s">
        <v>1126</v>
      </c>
      <c r="D79" s="801">
        <f>+Ulaz!F77</f>
        <v>0</v>
      </c>
      <c r="E79" s="369"/>
    </row>
    <row r="80" spans="1:5" ht="12" customHeight="1">
      <c r="A80" s="802" t="s">
        <v>1182</v>
      </c>
      <c r="B80" s="804" t="s">
        <v>549</v>
      </c>
      <c r="C80" s="797" t="s">
        <v>838</v>
      </c>
      <c r="D80" s="801">
        <f>+Ulaz!F78</f>
        <v>49126</v>
      </c>
      <c r="E80" s="369"/>
    </row>
    <row r="81" spans="1:5" ht="12" customHeight="1">
      <c r="A81" s="802" t="s">
        <v>1183</v>
      </c>
      <c r="B81" s="804" t="s">
        <v>550</v>
      </c>
      <c r="C81" s="797" t="s">
        <v>1088</v>
      </c>
      <c r="D81" s="801">
        <f>+Ulaz!F79</f>
        <v>0</v>
      </c>
      <c r="E81" s="369"/>
    </row>
    <row r="82" spans="1:5" ht="12" customHeight="1">
      <c r="A82" s="802" t="s">
        <v>231</v>
      </c>
      <c r="B82" s="804" t="s">
        <v>551</v>
      </c>
      <c r="C82" s="797" t="s">
        <v>1130</v>
      </c>
      <c r="D82" s="801">
        <f>+Ulaz!F80</f>
        <v>0</v>
      </c>
      <c r="E82" s="369"/>
    </row>
    <row r="83" spans="1:5" ht="12" customHeight="1">
      <c r="A83" s="802" t="s">
        <v>232</v>
      </c>
      <c r="B83" s="804" t="s">
        <v>552</v>
      </c>
      <c r="C83" s="797" t="s">
        <v>1132</v>
      </c>
      <c r="D83" s="801">
        <f>+Ulaz!F81</f>
        <v>0</v>
      </c>
      <c r="E83" s="369"/>
    </row>
    <row r="84" spans="1:5" ht="12" customHeight="1">
      <c r="A84" s="802" t="s">
        <v>233</v>
      </c>
      <c r="B84" s="804" t="s">
        <v>553</v>
      </c>
      <c r="C84" s="797" t="s">
        <v>554</v>
      </c>
      <c r="D84" s="801">
        <f>+Ulaz!F82</f>
        <v>0</v>
      </c>
      <c r="E84" s="369"/>
    </row>
    <row r="85" spans="1:5" ht="12" customHeight="1">
      <c r="A85" s="802" t="s">
        <v>1118</v>
      </c>
      <c r="B85" s="799" t="s">
        <v>555</v>
      </c>
      <c r="C85" s="800" t="s">
        <v>839</v>
      </c>
      <c r="D85" s="801">
        <f>+Ulaz!F83</f>
        <v>0</v>
      </c>
      <c r="E85" s="369"/>
    </row>
    <row r="86" spans="1:5" ht="12" customHeight="1">
      <c r="A86" s="802" t="s">
        <v>234</v>
      </c>
      <c r="B86" s="804" t="s">
        <v>556</v>
      </c>
      <c r="C86" s="797" t="s">
        <v>557</v>
      </c>
      <c r="D86" s="801">
        <f>+Ulaz!F84</f>
        <v>0</v>
      </c>
      <c r="E86" s="369"/>
    </row>
    <row r="87" spans="1:5" ht="12" customHeight="1">
      <c r="A87" s="802" t="s">
        <v>235</v>
      </c>
      <c r="B87" s="804" t="s">
        <v>558</v>
      </c>
      <c r="C87" s="797" t="s">
        <v>205</v>
      </c>
      <c r="D87" s="801">
        <f>+Ulaz!F85</f>
        <v>27669</v>
      </c>
      <c r="E87" s="369"/>
    </row>
    <row r="88" spans="1:5" ht="12" customHeight="1">
      <c r="A88" s="802" t="s">
        <v>1492</v>
      </c>
      <c r="B88" s="804" t="s">
        <v>1493</v>
      </c>
      <c r="C88" s="797"/>
      <c r="D88" s="801">
        <f>+Ulaz!F86</f>
        <v>0</v>
      </c>
      <c r="E88" s="369"/>
    </row>
    <row r="89" spans="1:5" ht="12" customHeight="1">
      <c r="A89" s="802" t="s">
        <v>1119</v>
      </c>
      <c r="B89" s="804" t="s">
        <v>559</v>
      </c>
      <c r="C89" s="797" t="s">
        <v>206</v>
      </c>
      <c r="D89" s="801">
        <f>+Ulaz!F87</f>
        <v>692</v>
      </c>
      <c r="E89" s="369"/>
    </row>
    <row r="90" spans="1:5" ht="12" customHeight="1">
      <c r="A90" s="802" t="s">
        <v>199</v>
      </c>
      <c r="B90" s="804" t="s">
        <v>560</v>
      </c>
      <c r="C90" s="797" t="s">
        <v>1085</v>
      </c>
      <c r="D90" s="801">
        <f>+Ulaz!F88</f>
        <v>26977</v>
      </c>
      <c r="E90" s="369"/>
    </row>
    <row r="91" spans="1:5" ht="12" customHeight="1">
      <c r="A91" s="802" t="s">
        <v>561</v>
      </c>
      <c r="B91" s="804" t="s">
        <v>562</v>
      </c>
      <c r="C91" s="797" t="s">
        <v>207</v>
      </c>
      <c r="D91" s="801">
        <f>+Ulaz!F89</f>
        <v>0</v>
      </c>
      <c r="E91" s="369"/>
    </row>
    <row r="92" spans="1:5" ht="12" customHeight="1">
      <c r="A92" s="802"/>
      <c r="B92" s="799" t="s">
        <v>563</v>
      </c>
      <c r="C92" s="800" t="s">
        <v>208</v>
      </c>
      <c r="D92" s="801">
        <f>+Ulaz!F91</f>
        <v>0</v>
      </c>
      <c r="E92" s="369"/>
    </row>
    <row r="93" spans="1:5" ht="12" customHeight="1">
      <c r="A93" s="802" t="s">
        <v>564</v>
      </c>
      <c r="B93" s="804" t="s">
        <v>565</v>
      </c>
      <c r="C93" s="797" t="s">
        <v>209</v>
      </c>
      <c r="D93" s="801">
        <f>+Ulaz!F92</f>
        <v>0</v>
      </c>
      <c r="E93" s="369"/>
    </row>
    <row r="94" spans="1:5" ht="12" customHeight="1">
      <c r="A94" s="802" t="s">
        <v>566</v>
      </c>
      <c r="B94" s="804" t="s">
        <v>1494</v>
      </c>
      <c r="C94" s="797" t="s">
        <v>567</v>
      </c>
      <c r="D94" s="801">
        <f>+Ulaz!F93</f>
        <v>0</v>
      </c>
      <c r="E94" s="369"/>
    </row>
    <row r="95" spans="1:5" ht="12" customHeight="1">
      <c r="A95" s="802" t="s">
        <v>568</v>
      </c>
      <c r="B95" s="804" t="s">
        <v>0</v>
      </c>
      <c r="C95" s="797" t="s">
        <v>1086</v>
      </c>
      <c r="D95" s="801">
        <f>+Ulaz!F94</f>
        <v>17790</v>
      </c>
      <c r="E95" s="369"/>
    </row>
    <row r="96" spans="1:5" ht="12" customHeight="1">
      <c r="A96" s="802" t="s">
        <v>569</v>
      </c>
      <c r="B96" s="804" t="s">
        <v>570</v>
      </c>
      <c r="C96" s="797" t="s">
        <v>210</v>
      </c>
      <c r="D96" s="801">
        <f>+Ulaz!F95</f>
        <v>4480</v>
      </c>
      <c r="E96" s="369"/>
    </row>
    <row r="97" spans="1:5" ht="12" customHeight="1">
      <c r="A97" s="802"/>
      <c r="B97" s="799" t="s">
        <v>571</v>
      </c>
      <c r="C97" s="800" t="s">
        <v>1087</v>
      </c>
      <c r="D97" s="801">
        <f>+Ulaz!F96</f>
        <v>0</v>
      </c>
      <c r="E97" s="369"/>
    </row>
    <row r="98" spans="1:5" ht="12" customHeight="1">
      <c r="A98" s="802"/>
      <c r="B98" s="799" t="s">
        <v>572</v>
      </c>
      <c r="C98" s="800" t="s">
        <v>840</v>
      </c>
      <c r="D98" s="801">
        <f>+Ulaz!F97</f>
        <v>0</v>
      </c>
      <c r="E98" s="369"/>
    </row>
    <row r="99" spans="1:5" ht="12" customHeight="1">
      <c r="A99" s="802" t="s">
        <v>573</v>
      </c>
      <c r="B99" s="804" t="s">
        <v>574</v>
      </c>
      <c r="C99" s="797" t="s">
        <v>575</v>
      </c>
      <c r="D99" s="801">
        <f>+Ulaz!F98</f>
        <v>0</v>
      </c>
      <c r="E99" s="369"/>
    </row>
    <row r="100" spans="1:5" ht="12" customHeight="1">
      <c r="A100" s="802" t="s">
        <v>576</v>
      </c>
      <c r="B100" s="804" t="s">
        <v>577</v>
      </c>
      <c r="C100" s="797" t="s">
        <v>578</v>
      </c>
      <c r="D100" s="801">
        <f>+Ulaz!F99</f>
        <v>4480</v>
      </c>
      <c r="E100" s="369"/>
    </row>
    <row r="101" spans="1:5" ht="12" customHeight="1">
      <c r="A101" s="802" t="s">
        <v>579</v>
      </c>
      <c r="B101" s="804" t="s">
        <v>580</v>
      </c>
      <c r="C101" s="797" t="s">
        <v>581</v>
      </c>
      <c r="D101" s="801">
        <f>+Ulaz!F100</f>
        <v>0</v>
      </c>
      <c r="E101" s="369"/>
    </row>
    <row r="102" spans="1:5" ht="12" customHeight="1">
      <c r="A102" s="802" t="s">
        <v>582</v>
      </c>
      <c r="B102" s="804" t="s">
        <v>583</v>
      </c>
      <c r="C102" s="797" t="s">
        <v>584</v>
      </c>
      <c r="D102" s="801">
        <f>+Ulaz!F101</f>
        <v>13310</v>
      </c>
      <c r="E102" s="369"/>
    </row>
    <row r="103" spans="1:5" ht="12" customHeight="1">
      <c r="A103" s="802" t="s">
        <v>157</v>
      </c>
      <c r="B103" s="804" t="s">
        <v>585</v>
      </c>
      <c r="C103" s="797" t="s">
        <v>586</v>
      </c>
      <c r="D103" s="801">
        <f>+Ulaz!F102</f>
        <v>0</v>
      </c>
      <c r="E103" s="369"/>
    </row>
    <row r="104" spans="1:5" ht="12" customHeight="1">
      <c r="A104" s="802"/>
      <c r="B104" s="799" t="s">
        <v>587</v>
      </c>
      <c r="C104" s="800" t="s">
        <v>588</v>
      </c>
      <c r="D104" s="801">
        <f>+Ulaz!F103</f>
        <v>0</v>
      </c>
      <c r="E104" s="369"/>
    </row>
    <row r="105" spans="1:5" ht="12" customHeight="1">
      <c r="A105" s="802" t="s">
        <v>589</v>
      </c>
      <c r="B105" s="803" t="s">
        <v>590</v>
      </c>
      <c r="C105" s="797" t="s">
        <v>591</v>
      </c>
      <c r="D105" s="801">
        <f>+Ulaz!F104</f>
        <v>0</v>
      </c>
      <c r="E105" s="369"/>
    </row>
    <row r="106" spans="1:5" ht="12" customHeight="1">
      <c r="A106" s="802" t="s">
        <v>592</v>
      </c>
      <c r="B106" s="804" t="s">
        <v>891</v>
      </c>
      <c r="C106" s="797" t="s">
        <v>892</v>
      </c>
      <c r="D106" s="801">
        <f>+Ulaz!F105</f>
        <v>58</v>
      </c>
      <c r="E106" s="369"/>
    </row>
    <row r="107" spans="1:5" ht="12" customHeight="1">
      <c r="A107" s="802" t="s">
        <v>893</v>
      </c>
      <c r="B107" s="804" t="s">
        <v>894</v>
      </c>
      <c r="C107" s="797" t="s">
        <v>895</v>
      </c>
      <c r="D107" s="801">
        <f>+Ulaz!F106</f>
        <v>0</v>
      </c>
      <c r="E107" s="369"/>
    </row>
    <row r="108" spans="1:5" ht="12" customHeight="1">
      <c r="A108" s="802" t="s">
        <v>158</v>
      </c>
      <c r="B108" s="804" t="s">
        <v>896</v>
      </c>
      <c r="C108" s="797" t="s">
        <v>897</v>
      </c>
      <c r="D108" s="801">
        <f>+Ulaz!F107</f>
        <v>9762</v>
      </c>
      <c r="E108" s="369"/>
    </row>
    <row r="109" spans="1:5" ht="12" customHeight="1">
      <c r="A109" s="802" t="s">
        <v>159</v>
      </c>
      <c r="B109" s="804" t="s">
        <v>898</v>
      </c>
      <c r="C109" s="797" t="s">
        <v>164</v>
      </c>
      <c r="D109" s="801">
        <f>+Ulaz!F108</f>
        <v>0</v>
      </c>
      <c r="E109" s="369"/>
    </row>
    <row r="110" spans="1:5" ht="12" customHeight="1">
      <c r="A110" s="802" t="s">
        <v>899</v>
      </c>
      <c r="B110" s="804" t="s">
        <v>900</v>
      </c>
      <c r="C110" s="797" t="s">
        <v>1129</v>
      </c>
      <c r="D110" s="801">
        <f>+Ulaz!F109</f>
        <v>0</v>
      </c>
      <c r="E110" s="369"/>
    </row>
    <row r="111" spans="1:5" ht="12" customHeight="1">
      <c r="A111" s="802" t="s">
        <v>901</v>
      </c>
      <c r="B111" s="803" t="s">
        <v>902</v>
      </c>
      <c r="C111" s="797" t="s">
        <v>1127</v>
      </c>
      <c r="D111" s="801">
        <f>+Ulaz!F110</f>
        <v>1891</v>
      </c>
      <c r="E111" s="369"/>
    </row>
    <row r="112" spans="1:5" ht="12" customHeight="1">
      <c r="A112" s="802" t="s">
        <v>1120</v>
      </c>
      <c r="B112" s="804" t="s">
        <v>903</v>
      </c>
      <c r="C112" s="797" t="s">
        <v>1131</v>
      </c>
      <c r="D112" s="801">
        <f>+Ulaz!F111</f>
        <v>1531</v>
      </c>
      <c r="E112" s="369"/>
    </row>
    <row r="113" spans="1:5" ht="12" customHeight="1">
      <c r="A113" s="802" t="s">
        <v>1121</v>
      </c>
      <c r="B113" s="804" t="s">
        <v>904</v>
      </c>
      <c r="C113" s="797" t="s">
        <v>1092</v>
      </c>
      <c r="D113" s="801">
        <f>+Ulaz!F112</f>
        <v>68</v>
      </c>
      <c r="E113" s="369"/>
    </row>
    <row r="114" spans="1:5" ht="12" customHeight="1">
      <c r="A114" s="802" t="s">
        <v>1122</v>
      </c>
      <c r="B114" s="804" t="s">
        <v>905</v>
      </c>
      <c r="C114" s="797" t="s">
        <v>1134</v>
      </c>
      <c r="D114" s="801">
        <f>+Ulaz!F113</f>
        <v>0</v>
      </c>
      <c r="E114" s="369"/>
    </row>
    <row r="115" spans="1:5" ht="12" customHeight="1">
      <c r="A115" s="802" t="s">
        <v>1123</v>
      </c>
      <c r="B115" s="804" t="s">
        <v>906</v>
      </c>
      <c r="C115" s="797" t="s">
        <v>212</v>
      </c>
      <c r="D115" s="801">
        <f>+Ulaz!F114</f>
        <v>0</v>
      </c>
      <c r="E115" s="369"/>
    </row>
    <row r="116" spans="1:5" ht="12" customHeight="1">
      <c r="A116" s="802" t="s">
        <v>1124</v>
      </c>
      <c r="B116" s="804" t="s">
        <v>907</v>
      </c>
      <c r="C116" s="797" t="s">
        <v>1135</v>
      </c>
      <c r="D116" s="801">
        <f>+Ulaz!F115</f>
        <v>0</v>
      </c>
      <c r="E116" s="369"/>
    </row>
    <row r="117" spans="1:5" ht="12" customHeight="1">
      <c r="A117" s="802"/>
      <c r="B117" s="799" t="s">
        <v>908</v>
      </c>
      <c r="C117" s="800" t="s">
        <v>211</v>
      </c>
      <c r="D117" s="801">
        <f>+Ulaz!F116</f>
        <v>95711</v>
      </c>
      <c r="E117" s="369"/>
    </row>
    <row r="118" spans="1:5" ht="12" customHeight="1">
      <c r="A118" s="802" t="s">
        <v>909</v>
      </c>
      <c r="B118" s="804" t="s">
        <v>910</v>
      </c>
      <c r="C118" s="797" t="s">
        <v>213</v>
      </c>
      <c r="D118" s="801">
        <f>+Ulaz!F117</f>
        <v>0</v>
      </c>
      <c r="E118" s="369"/>
    </row>
    <row r="119" spans="1:5" ht="12" customHeight="1">
      <c r="A119" s="802"/>
      <c r="B119" s="799" t="s">
        <v>911</v>
      </c>
      <c r="C119" s="800" t="s">
        <v>204</v>
      </c>
      <c r="D119" s="801">
        <f>+Ulaz!F118</f>
        <v>95711</v>
      </c>
      <c r="E119" s="369"/>
    </row>
    <row r="120" spans="1:5" ht="12" customHeight="1">
      <c r="A120" s="805" t="s">
        <v>1137</v>
      </c>
      <c r="B120" s="806" t="s">
        <v>912</v>
      </c>
      <c r="C120" s="807" t="s">
        <v>913</v>
      </c>
      <c r="D120" s="822">
        <f>+Ulaz!F119</f>
        <v>2886</v>
      </c>
      <c r="E120" s="369"/>
    </row>
    <row r="122" ht="12" customHeight="1">
      <c r="B122" s="536" t="s">
        <v>400</v>
      </c>
    </row>
    <row r="123" spans="2:5" ht="12" customHeight="1">
      <c r="B123" s="536" t="s">
        <v>401</v>
      </c>
      <c r="D123" s="707">
        <f>+D80/D74*D73</f>
        <v>76175.01882512138</v>
      </c>
      <c r="E123" s="536" t="s">
        <v>23</v>
      </c>
    </row>
    <row r="125" ht="12" customHeight="1">
      <c r="B125" s="541" t="s">
        <v>403</v>
      </c>
    </row>
    <row r="127" ht="12" customHeight="1">
      <c r="B127" s="536" t="s">
        <v>404</v>
      </c>
    </row>
    <row r="129" ht="12" customHeight="1">
      <c r="C129" s="536" t="s">
        <v>277</v>
      </c>
    </row>
    <row r="130" spans="2:3" ht="12" customHeight="1">
      <c r="B130" s="824" t="s">
        <v>409</v>
      </c>
      <c r="C130" s="825">
        <f>+F66</f>
        <v>95711</v>
      </c>
    </row>
    <row r="131" spans="2:3" ht="12" customHeight="1">
      <c r="B131" s="826" t="s">
        <v>408</v>
      </c>
      <c r="C131" s="827">
        <f>+F61</f>
        <v>28610</v>
      </c>
    </row>
    <row r="132" spans="2:3" ht="12" customHeight="1">
      <c r="B132" s="824" t="s">
        <v>405</v>
      </c>
      <c r="C132" s="828">
        <f>+D97</f>
        <v>0</v>
      </c>
    </row>
    <row r="133" spans="2:3" ht="12" customHeight="1">
      <c r="B133" s="824" t="s">
        <v>406</v>
      </c>
      <c r="C133" s="828">
        <f>+D92</f>
        <v>0</v>
      </c>
    </row>
    <row r="134" spans="2:3" ht="12" customHeight="1">
      <c r="B134" s="829" t="s">
        <v>279</v>
      </c>
      <c r="C134" s="827">
        <f>+D116</f>
        <v>0</v>
      </c>
    </row>
    <row r="135" spans="2:3" ht="12" customHeight="1">
      <c r="B135" s="828" t="s">
        <v>407</v>
      </c>
      <c r="C135" s="828">
        <f>+C130-C131-C132-C133-C134</f>
        <v>67101</v>
      </c>
    </row>
    <row r="137" ht="12" customHeight="1">
      <c r="B137" s="830" t="s">
        <v>411</v>
      </c>
    </row>
    <row r="138" spans="3:4" ht="12" customHeight="1">
      <c r="C138" s="717">
        <f>+C135</f>
        <v>67101</v>
      </c>
      <c r="D138" s="536" t="s">
        <v>410</v>
      </c>
    </row>
    <row r="140" ht="12" customHeight="1">
      <c r="B140" s="537" t="s">
        <v>1200</v>
      </c>
    </row>
    <row r="141" ht="12" customHeight="1">
      <c r="B141" s="537" t="s">
        <v>1192</v>
      </c>
    </row>
    <row r="142" ht="12" customHeight="1">
      <c r="B142" s="537"/>
    </row>
    <row r="143" ht="12" customHeight="1">
      <c r="B143" s="537"/>
    </row>
    <row r="144" ht="12" customHeight="1">
      <c r="B144" s="538" t="s">
        <v>1203</v>
      </c>
    </row>
    <row r="145" ht="12" customHeight="1">
      <c r="B145" s="538" t="s">
        <v>1204</v>
      </c>
    </row>
    <row r="146" ht="12" customHeight="1">
      <c r="B146" s="538" t="s">
        <v>1205</v>
      </c>
    </row>
    <row r="147" ht="12" customHeight="1">
      <c r="B147" s="538" t="s">
        <v>1206</v>
      </c>
    </row>
    <row r="148" ht="12" customHeight="1">
      <c r="B148" s="538" t="s">
        <v>1207</v>
      </c>
    </row>
    <row r="149" ht="12" customHeight="1">
      <c r="B149" s="538" t="s">
        <v>1208</v>
      </c>
    </row>
    <row r="150" ht="12" customHeight="1">
      <c r="B150" s="538" t="s">
        <v>1209</v>
      </c>
    </row>
    <row r="151" ht="12" customHeight="1">
      <c r="B151" s="539" t="s">
        <v>1210</v>
      </c>
    </row>
    <row r="152" ht="12" customHeight="1">
      <c r="B152" s="539" t="s">
        <v>1211</v>
      </c>
    </row>
    <row r="153" ht="12" customHeight="1">
      <c r="B153" s="539" t="s">
        <v>1212</v>
      </c>
    </row>
    <row r="154" ht="12" customHeight="1">
      <c r="B154" s="539"/>
    </row>
    <row r="155" ht="12" customHeight="1">
      <c r="B155" s="538" t="s">
        <v>1310</v>
      </c>
    </row>
    <row r="157" ht="12" customHeight="1">
      <c r="B157" s="538" t="s">
        <v>1213</v>
      </c>
    </row>
    <row r="158" ht="12" customHeight="1">
      <c r="B158" s="536" t="s">
        <v>1214</v>
      </c>
    </row>
    <row r="159" ht="12" customHeight="1">
      <c r="B159" s="538"/>
    </row>
    <row r="161" ht="12" customHeight="1">
      <c r="B161" s="537"/>
    </row>
    <row r="162" ht="12" customHeight="1">
      <c r="B162" s="537" t="s">
        <v>1201</v>
      </c>
    </row>
    <row r="163" ht="12" customHeight="1">
      <c r="B163" s="537"/>
    </row>
    <row r="164" ht="12" customHeight="1">
      <c r="B164" s="540"/>
    </row>
    <row r="165" ht="12" customHeight="1">
      <c r="B165" s="537"/>
    </row>
    <row r="166" ht="12" customHeight="1">
      <c r="B166" s="538" t="s">
        <v>1193</v>
      </c>
    </row>
    <row r="167" ht="12" customHeight="1">
      <c r="B167" s="539" t="s">
        <v>1194</v>
      </c>
    </row>
    <row r="168" ht="12" customHeight="1">
      <c r="B168" s="539" t="s">
        <v>1195</v>
      </c>
    </row>
    <row r="169" ht="12" customHeight="1">
      <c r="B169" s="538" t="s">
        <v>1196</v>
      </c>
    </row>
    <row r="170" ht="12" customHeight="1">
      <c r="B170" s="538" t="s">
        <v>1197</v>
      </c>
    </row>
    <row r="171" ht="12" customHeight="1">
      <c r="B171" s="538"/>
    </row>
    <row r="172" ht="12" customHeight="1">
      <c r="B172" s="538"/>
    </row>
    <row r="173" ht="12" customHeight="1">
      <c r="B173" s="541" t="s">
        <v>1202</v>
      </c>
    </row>
    <row r="174" ht="12" customHeight="1">
      <c r="B174" s="541"/>
    </row>
    <row r="175" ht="12" customHeight="1">
      <c r="B175" s="538" t="s">
        <v>1311</v>
      </c>
    </row>
    <row r="176" ht="12" customHeight="1">
      <c r="B176" s="541"/>
    </row>
    <row r="177" ht="12" customHeight="1">
      <c r="B177" s="538" t="s">
        <v>1312</v>
      </c>
    </row>
    <row r="178" ht="12" customHeight="1">
      <c r="B178" s="542" t="s">
        <v>1313</v>
      </c>
    </row>
    <row r="179" ht="12" customHeight="1">
      <c r="B179" s="542" t="s">
        <v>1314</v>
      </c>
    </row>
    <row r="180" ht="12" customHeight="1">
      <c r="B180" s="542" t="s">
        <v>1315</v>
      </c>
    </row>
    <row r="181" ht="12" customHeight="1">
      <c r="B181" s="538"/>
    </row>
    <row r="182" ht="12" customHeight="1">
      <c r="B182" s="543" t="s">
        <v>1215</v>
      </c>
    </row>
    <row r="183" ht="12" customHeight="1">
      <c r="B183" s="538"/>
    </row>
    <row r="184" ht="12" customHeight="1">
      <c r="B184" s="538" t="s">
        <v>1247</v>
      </c>
    </row>
    <row r="185" ht="12" customHeight="1">
      <c r="B185" s="538" t="s">
        <v>1248</v>
      </c>
    </row>
    <row r="186" ht="12" customHeight="1">
      <c r="B186" s="538" t="s">
        <v>1249</v>
      </c>
    </row>
    <row r="187" ht="12" customHeight="1">
      <c r="B187" s="539" t="s">
        <v>1250</v>
      </c>
    </row>
    <row r="188" ht="12" customHeight="1">
      <c r="B188" s="539" t="s">
        <v>1251</v>
      </c>
    </row>
    <row r="189" ht="12" customHeight="1">
      <c r="B189" s="539" t="s">
        <v>1252</v>
      </c>
    </row>
    <row r="190" ht="12" customHeight="1">
      <c r="B190" s="539" t="s">
        <v>1253</v>
      </c>
    </row>
    <row r="191" ht="12" customHeight="1">
      <c r="B191" s="539" t="s">
        <v>1254</v>
      </c>
    </row>
    <row r="192" ht="12" customHeight="1">
      <c r="B192" s="539" t="s">
        <v>1255</v>
      </c>
    </row>
    <row r="193" ht="12" customHeight="1">
      <c r="B193" s="539" t="s">
        <v>1256</v>
      </c>
    </row>
    <row r="194" ht="12" customHeight="1">
      <c r="B194" s="539"/>
    </row>
    <row r="195" ht="12" customHeight="1">
      <c r="B195" s="538" t="s">
        <v>1257</v>
      </c>
    </row>
    <row r="196" ht="12" customHeight="1">
      <c r="B196" s="539" t="s">
        <v>1258</v>
      </c>
    </row>
    <row r="197" ht="12" customHeight="1">
      <c r="B197" s="538"/>
    </row>
    <row r="198" ht="12" customHeight="1">
      <c r="B198" s="543" t="s">
        <v>1216</v>
      </c>
    </row>
    <row r="199" ht="12" customHeight="1">
      <c r="B199" s="540"/>
    </row>
    <row r="200" ht="12" customHeight="1">
      <c r="B200" s="540" t="s">
        <v>1259</v>
      </c>
    </row>
    <row r="201" ht="12" customHeight="1">
      <c r="B201" s="544" t="s">
        <v>1260</v>
      </c>
    </row>
    <row r="203" ht="12" customHeight="1">
      <c r="B203" s="540" t="s">
        <v>1261</v>
      </c>
    </row>
    <row r="204" ht="12" customHeight="1">
      <c r="B204" s="545" t="s">
        <v>1262</v>
      </c>
    </row>
    <row r="205" ht="12" customHeight="1">
      <c r="B205" s="536" t="s">
        <v>1263</v>
      </c>
    </row>
    <row r="206" ht="12" customHeight="1">
      <c r="B206" s="536" t="s">
        <v>1264</v>
      </c>
    </row>
    <row r="208" ht="12" customHeight="1">
      <c r="B208" s="544" t="s">
        <v>1217</v>
      </c>
    </row>
    <row r="210" ht="12" customHeight="1">
      <c r="B210" s="540" t="s">
        <v>1219</v>
      </c>
    </row>
    <row r="211" ht="12" customHeight="1">
      <c r="B211" s="546" t="s">
        <v>1220</v>
      </c>
    </row>
    <row r="212" spans="2:3" ht="12" customHeight="1">
      <c r="B212" s="536" t="s">
        <v>1221</v>
      </c>
      <c r="C212" s="547">
        <v>0.9</v>
      </c>
    </row>
    <row r="213" ht="12" customHeight="1">
      <c r="B213" s="536" t="s">
        <v>1222</v>
      </c>
    </row>
    <row r="214" ht="12" customHeight="1">
      <c r="B214" s="548" t="s">
        <v>1265</v>
      </c>
    </row>
    <row r="215" ht="12" customHeight="1">
      <c r="B215" s="548"/>
    </row>
    <row r="216" ht="12" customHeight="1">
      <c r="B216" s="537" t="s">
        <v>1218</v>
      </c>
    </row>
    <row r="217" ht="12" customHeight="1">
      <c r="B217" s="537"/>
    </row>
    <row r="218" ht="12" customHeight="1">
      <c r="B218" s="538" t="s">
        <v>1266</v>
      </c>
    </row>
    <row r="219" ht="12" customHeight="1">
      <c r="B219" s="538" t="s">
        <v>1223</v>
      </c>
    </row>
    <row r="220" ht="12" customHeight="1">
      <c r="B220" s="538" t="s">
        <v>1267</v>
      </c>
    </row>
    <row r="221" ht="12" customHeight="1">
      <c r="B221" s="540"/>
    </row>
    <row r="222" ht="12" customHeight="1">
      <c r="B222" s="549" t="s">
        <v>1224</v>
      </c>
    </row>
    <row r="223" ht="12" customHeight="1">
      <c r="B223" s="540"/>
    </row>
    <row r="224" ht="12" customHeight="1">
      <c r="B224" s="538" t="s">
        <v>1316</v>
      </c>
    </row>
    <row r="225" ht="12" customHeight="1">
      <c r="B225" s="542" t="s">
        <v>1317</v>
      </c>
    </row>
    <row r="226" ht="12" customHeight="1">
      <c r="B226" s="542" t="s">
        <v>1318</v>
      </c>
    </row>
    <row r="227" ht="12" customHeight="1">
      <c r="B227" s="540"/>
    </row>
    <row r="228" ht="12" customHeight="1">
      <c r="B228" s="538" t="s">
        <v>1225</v>
      </c>
    </row>
    <row r="229" ht="12" customHeight="1">
      <c r="B229" s="550" t="s">
        <v>1226</v>
      </c>
    </row>
    <row r="230" ht="12" customHeight="1">
      <c r="B230" s="551" t="s">
        <v>1268</v>
      </c>
    </row>
    <row r="231" ht="12" customHeight="1">
      <c r="B231" s="551" t="s">
        <v>1269</v>
      </c>
    </row>
    <row r="232" ht="12" customHeight="1">
      <c r="B232" s="551"/>
    </row>
    <row r="233" ht="12" customHeight="1">
      <c r="B233" s="538" t="s">
        <v>1227</v>
      </c>
    </row>
    <row r="234" ht="12" customHeight="1">
      <c r="B234" s="552" t="s">
        <v>1231</v>
      </c>
    </row>
    <row r="235" ht="12" customHeight="1">
      <c r="B235" s="538" t="s">
        <v>1228</v>
      </c>
    </row>
    <row r="237" ht="12" customHeight="1">
      <c r="B237" s="540"/>
    </row>
    <row r="238" ht="12" customHeight="1" thickBot="1">
      <c r="B238" s="541" t="s">
        <v>1229</v>
      </c>
    </row>
    <row r="239" spans="2:4" ht="12" customHeight="1" thickTop="1">
      <c r="B239" s="553" t="s">
        <v>1327</v>
      </c>
      <c r="C239" s="554">
        <v>2002</v>
      </c>
      <c r="D239" s="555" t="s">
        <v>1230</v>
      </c>
    </row>
    <row r="240" spans="2:4" ht="12" customHeight="1">
      <c r="B240" s="556"/>
      <c r="C240" s="557" t="s">
        <v>277</v>
      </c>
      <c r="D240" s="558" t="str">
        <f>+C240</f>
        <v>u 000 din</v>
      </c>
    </row>
    <row r="241" spans="2:4" ht="12" customHeight="1">
      <c r="B241" s="559"/>
      <c r="C241" s="404"/>
      <c r="D241" s="560"/>
    </row>
    <row r="242" spans="2:4" ht="12" customHeight="1">
      <c r="B242" s="561" t="s">
        <v>1356</v>
      </c>
      <c r="C242" s="405">
        <f>+Bilansi!C103</f>
        <v>100551</v>
      </c>
      <c r="D242" s="562">
        <f>+C242*Meni!C$49</f>
        <v>105578.55</v>
      </c>
    </row>
    <row r="243" spans="2:4" ht="12" customHeight="1">
      <c r="B243" s="559" t="s">
        <v>71</v>
      </c>
      <c r="C243" s="405">
        <f>+Bilansi!C104</f>
        <v>100039</v>
      </c>
      <c r="D243" s="562">
        <f>+C243*Meni!C$49</f>
        <v>105040.95000000001</v>
      </c>
    </row>
    <row r="244" spans="2:4" ht="12" customHeight="1">
      <c r="B244" s="559" t="s">
        <v>72</v>
      </c>
      <c r="C244" s="405">
        <f>+Bilansi!C105</f>
        <v>0</v>
      </c>
      <c r="D244" s="562">
        <f>+C244*Meni!C$49</f>
        <v>0</v>
      </c>
    </row>
    <row r="245" spans="2:4" ht="12" customHeight="1">
      <c r="B245" s="559" t="s">
        <v>1358</v>
      </c>
      <c r="C245" s="405">
        <f>+Bilansi!C106</f>
        <v>512</v>
      </c>
      <c r="D245" s="562">
        <f>+C245*Meni!C$49</f>
        <v>537.6</v>
      </c>
    </row>
    <row r="246" spans="2:4" ht="12" customHeight="1">
      <c r="B246" s="559" t="s">
        <v>19</v>
      </c>
      <c r="C246" s="405">
        <f>+Bilansi!C107</f>
        <v>0</v>
      </c>
      <c r="D246" s="562">
        <f>+C246*Meni!C$49</f>
        <v>0</v>
      </c>
    </row>
    <row r="247" spans="2:4" ht="12" customHeight="1">
      <c r="B247" s="559" t="s">
        <v>12</v>
      </c>
      <c r="C247" s="405">
        <f>+Bilansi!C108</f>
        <v>0</v>
      </c>
      <c r="D247" s="562">
        <f>+C247*Meni!C$49</f>
        <v>0</v>
      </c>
    </row>
    <row r="248" spans="2:4" ht="12" customHeight="1">
      <c r="B248" s="561" t="s">
        <v>1359</v>
      </c>
      <c r="C248" s="405">
        <f>+Bilansi!C109</f>
        <v>97942</v>
      </c>
      <c r="D248" s="562">
        <f>+C248*Meni!C$49</f>
        <v>102839.1</v>
      </c>
    </row>
    <row r="249" spans="2:4" ht="12" customHeight="1">
      <c r="B249" s="559" t="s">
        <v>1370</v>
      </c>
      <c r="C249" s="405">
        <f>+Bilansi!C110</f>
        <v>0</v>
      </c>
      <c r="D249" s="562">
        <f>+C249*Meni!C$49</f>
        <v>0</v>
      </c>
    </row>
    <row r="250" spans="2:4" ht="12" customHeight="1">
      <c r="B250" s="559" t="s">
        <v>20</v>
      </c>
      <c r="C250" s="405">
        <f>+Bilansi!C111</f>
        <v>22189</v>
      </c>
      <c r="D250" s="562">
        <f>+C250*Meni!C$49</f>
        <v>23298.45</v>
      </c>
    </row>
    <row r="251" spans="2:4" ht="12" customHeight="1">
      <c r="B251" s="559" t="s">
        <v>64</v>
      </c>
      <c r="C251" s="405">
        <f>+Bilansi!C112</f>
        <v>8829</v>
      </c>
      <c r="D251" s="562">
        <f>+C251*Meni!C$49</f>
        <v>9270.45</v>
      </c>
    </row>
    <row r="252" spans="2:4" ht="12" customHeight="1">
      <c r="B252" s="559" t="s">
        <v>65</v>
      </c>
      <c r="C252" s="405">
        <f>+Bilansi!C113</f>
        <v>23963</v>
      </c>
      <c r="D252" s="562">
        <f>+C252*Meni!C$49</f>
        <v>25161.15</v>
      </c>
    </row>
    <row r="253" spans="2:4" ht="12" customHeight="1">
      <c r="B253" s="559" t="s">
        <v>66</v>
      </c>
      <c r="C253" s="405">
        <f>+Bilansi!C114</f>
        <v>19931</v>
      </c>
      <c r="D253" s="562">
        <f>+C253*Meni!C$49</f>
        <v>20927.55</v>
      </c>
    </row>
    <row r="254" spans="2:4" ht="12" customHeight="1">
      <c r="B254" s="559" t="s">
        <v>67</v>
      </c>
      <c r="C254" s="405">
        <f>+Bilansi!C115</f>
        <v>8293</v>
      </c>
      <c r="D254" s="562">
        <f>+C254*Meni!C$49</f>
        <v>8707.65</v>
      </c>
    </row>
    <row r="255" spans="2:4" ht="12" customHeight="1">
      <c r="B255" s="559" t="s">
        <v>68</v>
      </c>
      <c r="C255" s="405">
        <f>+Bilansi!C116</f>
        <v>9765</v>
      </c>
      <c r="D255" s="562">
        <f>+C255*Meni!C$49</f>
        <v>10253.25</v>
      </c>
    </row>
    <row r="256" spans="2:4" ht="12" customHeight="1">
      <c r="B256" s="559" t="s">
        <v>69</v>
      </c>
      <c r="C256" s="405">
        <f>+Bilansi!C117</f>
        <v>4972</v>
      </c>
      <c r="D256" s="562">
        <f>+C256*Meni!C$49</f>
        <v>5220.6</v>
      </c>
    </row>
    <row r="257" spans="2:4" ht="12" customHeight="1">
      <c r="B257" s="561" t="s">
        <v>1360</v>
      </c>
      <c r="C257" s="405">
        <f>+Bilansi!C118</f>
        <v>2609</v>
      </c>
      <c r="D257" s="562">
        <f>+C257*Meni!C$49</f>
        <v>2739.4500000000003</v>
      </c>
    </row>
    <row r="258" spans="2:4" ht="12" customHeight="1">
      <c r="B258" s="561" t="s">
        <v>1361</v>
      </c>
      <c r="C258" s="405">
        <f>+Bilansi!C119</f>
        <v>175</v>
      </c>
      <c r="D258" s="562">
        <f>+C258*Meni!C$49</f>
        <v>183.75</v>
      </c>
    </row>
    <row r="259" spans="2:4" ht="12" customHeight="1">
      <c r="B259" s="559" t="s">
        <v>1367</v>
      </c>
      <c r="C259" s="405">
        <f>+Bilansi!C120</f>
        <v>172</v>
      </c>
      <c r="D259" s="562">
        <f>+C259*Meni!C$49</f>
        <v>180.6</v>
      </c>
    </row>
    <row r="260" spans="2:4" ht="12" customHeight="1">
      <c r="B260" s="559" t="s">
        <v>1386</v>
      </c>
      <c r="C260" s="405">
        <f>+Bilansi!C121</f>
        <v>3</v>
      </c>
      <c r="D260" s="562">
        <f>+C260*Meni!C$49</f>
        <v>3.1500000000000004</v>
      </c>
    </row>
    <row r="261" spans="2:4" ht="12" customHeight="1">
      <c r="B261" s="561" t="s">
        <v>1362</v>
      </c>
      <c r="C261" s="405">
        <f>+Bilansi!C122</f>
        <v>1005</v>
      </c>
      <c r="D261" s="562">
        <f>+C261*Meni!C$49</f>
        <v>1055.25</v>
      </c>
    </row>
    <row r="262" spans="2:4" ht="12" customHeight="1">
      <c r="B262" s="559" t="s">
        <v>1371</v>
      </c>
      <c r="C262" s="405">
        <f>+Bilansi!C123</f>
        <v>853</v>
      </c>
      <c r="D262" s="562">
        <f>+C262*Meni!C$49</f>
        <v>895.6500000000001</v>
      </c>
    </row>
    <row r="263" spans="2:4" ht="12" customHeight="1">
      <c r="B263" s="559" t="s">
        <v>1387</v>
      </c>
      <c r="C263" s="405">
        <f>+Bilansi!C124</f>
        <v>152</v>
      </c>
      <c r="D263" s="562">
        <f>+C263*Meni!C$49</f>
        <v>159.6</v>
      </c>
    </row>
    <row r="264" spans="2:4" ht="12" customHeight="1">
      <c r="B264" s="561" t="s">
        <v>1388</v>
      </c>
      <c r="C264" s="405">
        <f>+Bilansi!C125</f>
        <v>-830</v>
      </c>
      <c r="D264" s="562">
        <f>+C264*Meni!C$49</f>
        <v>-871.5</v>
      </c>
    </row>
    <row r="265" spans="2:4" ht="12" customHeight="1">
      <c r="B265" s="561" t="s">
        <v>1363</v>
      </c>
      <c r="C265" s="405">
        <f>+Bilansi!C126</f>
        <v>1779</v>
      </c>
      <c r="D265" s="562">
        <f>+C265*Meni!C$49</f>
        <v>1867.95</v>
      </c>
    </row>
    <row r="266" spans="2:4" ht="12" customHeight="1">
      <c r="B266" s="561" t="s">
        <v>1364</v>
      </c>
      <c r="C266" s="405">
        <f>+Bilansi!C127</f>
        <v>0</v>
      </c>
      <c r="D266" s="562">
        <f>+C266*Meni!C$49</f>
        <v>0</v>
      </c>
    </row>
    <row r="267" spans="2:4" ht="12" customHeight="1">
      <c r="B267" s="561" t="s">
        <v>313</v>
      </c>
      <c r="C267" s="405">
        <f>+Bilansi!C128</f>
        <v>1779</v>
      </c>
      <c r="D267" s="562">
        <f>+C267*Meni!C$49</f>
        <v>1867.95</v>
      </c>
    </row>
    <row r="268" spans="2:4" ht="12" customHeight="1">
      <c r="B268" s="561" t="s">
        <v>1368</v>
      </c>
      <c r="C268" s="405">
        <f>+Bilansi!C129</f>
        <v>190</v>
      </c>
      <c r="D268" s="562">
        <f>+C268*Meni!C$49</f>
        <v>199.5</v>
      </c>
    </row>
    <row r="269" spans="2:4" ht="12" customHeight="1">
      <c r="B269" s="561" t="s">
        <v>1369</v>
      </c>
      <c r="C269" s="405">
        <f>+Bilansi!C130</f>
        <v>1277</v>
      </c>
      <c r="D269" s="562">
        <f>+C269*Meni!C$49</f>
        <v>1340.8500000000001</v>
      </c>
    </row>
    <row r="270" spans="2:4" ht="12" customHeight="1">
      <c r="B270" s="561" t="s">
        <v>1389</v>
      </c>
      <c r="C270" s="405">
        <f>+Bilansi!C131</f>
        <v>-1087</v>
      </c>
      <c r="D270" s="562">
        <f>+C270*Meni!C$49</f>
        <v>-1141.3500000000001</v>
      </c>
    </row>
    <row r="271" spans="2:4" ht="12" customHeight="1">
      <c r="B271" s="561" t="s">
        <v>1390</v>
      </c>
      <c r="C271" s="405">
        <f>+Bilansi!C132</f>
        <v>0</v>
      </c>
      <c r="D271" s="562">
        <f>+C271*Meni!C$49</f>
        <v>0</v>
      </c>
    </row>
    <row r="272" spans="2:4" ht="12" customHeight="1">
      <c r="B272" s="561" t="s">
        <v>1391</v>
      </c>
      <c r="C272" s="405">
        <f>+Bilansi!C133</f>
        <v>0</v>
      </c>
      <c r="D272" s="562">
        <f>+C272*Meni!C$49</f>
        <v>0</v>
      </c>
    </row>
    <row r="273" spans="2:4" ht="12" customHeight="1">
      <c r="B273" s="561" t="s">
        <v>1365</v>
      </c>
      <c r="C273" s="405">
        <f>+Bilansi!C134</f>
        <v>0</v>
      </c>
      <c r="D273" s="562">
        <f>+C273*Meni!C$49</f>
        <v>0</v>
      </c>
    </row>
    <row r="274" spans="2:4" ht="12" customHeight="1" thickBot="1">
      <c r="B274" s="563" t="s">
        <v>1366</v>
      </c>
      <c r="C274" s="411">
        <f>+Bilansi!C135</f>
        <v>692</v>
      </c>
      <c r="D274" s="564">
        <f>+C274*Meni!C$49</f>
        <v>726.6</v>
      </c>
    </row>
    <row r="275" spans="2:9" ht="12" customHeight="1" thickTop="1">
      <c r="B275" s="540"/>
      <c r="G275" s="565"/>
      <c r="H275" s="566"/>
      <c r="I275" s="567"/>
    </row>
    <row r="276" spans="2:9" ht="12" customHeight="1">
      <c r="B276" s="540"/>
      <c r="G276" s="565"/>
      <c r="H276" s="566"/>
      <c r="I276" s="567"/>
    </row>
    <row r="277" spans="2:9" ht="12" customHeight="1">
      <c r="B277" s="538" t="s">
        <v>1270</v>
      </c>
      <c r="G277" s="565"/>
      <c r="H277" s="566"/>
      <c r="I277" s="567"/>
    </row>
    <row r="278" spans="2:9" ht="12" customHeight="1">
      <c r="B278" s="538" t="s">
        <v>1232</v>
      </c>
      <c r="G278" s="565"/>
      <c r="H278" s="566"/>
      <c r="I278" s="567"/>
    </row>
    <row r="279" spans="2:9" ht="12" customHeight="1">
      <c r="B279" s="538" t="s">
        <v>1271</v>
      </c>
      <c r="G279" s="565"/>
      <c r="H279" s="566"/>
      <c r="I279" s="567"/>
    </row>
    <row r="281" ht="12" customHeight="1">
      <c r="B281" s="568" t="s">
        <v>1272</v>
      </c>
    </row>
    <row r="282" ht="12" customHeight="1">
      <c r="B282" s="568" t="s">
        <v>1319</v>
      </c>
    </row>
    <row r="283" ht="12" customHeight="1" thickBot="1">
      <c r="B283" s="568"/>
    </row>
    <row r="284" spans="2:7" ht="12" customHeight="1" thickTop="1">
      <c r="B284" s="569" t="s">
        <v>296</v>
      </c>
      <c r="C284" s="570" t="s">
        <v>1400</v>
      </c>
      <c r="D284" s="570" t="s">
        <v>1401</v>
      </c>
      <c r="E284" s="570" t="s">
        <v>1402</v>
      </c>
      <c r="F284" s="570" t="s">
        <v>1403</v>
      </c>
      <c r="G284" s="571" t="s">
        <v>1404</v>
      </c>
    </row>
    <row r="285" spans="2:7" ht="12" customHeight="1">
      <c r="B285" s="572" t="s">
        <v>259</v>
      </c>
      <c r="C285" s="573">
        <f>+Meni!C7</f>
        <v>0.02</v>
      </c>
      <c r="D285" s="573">
        <f>+Meni!D7</f>
        <v>0.02</v>
      </c>
      <c r="E285" s="573">
        <f>+Meni!E7</f>
        <v>0.013333333333333332</v>
      </c>
      <c r="F285" s="573">
        <f>+Meni!F7</f>
        <v>0.013333333333333332</v>
      </c>
      <c r="G285" s="574">
        <f>+Meni!G7</f>
        <v>0.013333333333333332</v>
      </c>
    </row>
    <row r="286" spans="2:7" ht="12" customHeight="1">
      <c r="B286" s="572" t="s">
        <v>91</v>
      </c>
      <c r="C286" s="573">
        <f>+Meni!C8</f>
        <v>0</v>
      </c>
      <c r="D286" s="573">
        <f>+Meni!D8</f>
        <v>0</v>
      </c>
      <c r="E286" s="573">
        <f>+Meni!E8</f>
        <v>0</v>
      </c>
      <c r="F286" s="573">
        <f>+Meni!F8</f>
        <v>0</v>
      </c>
      <c r="G286" s="574">
        <f>+Meni!G8</f>
        <v>0</v>
      </c>
    </row>
    <row r="287" spans="2:7" ht="12" customHeight="1" thickBot="1">
      <c r="B287" s="575" t="s">
        <v>92</v>
      </c>
      <c r="C287" s="576">
        <f>+Meni!C9</f>
        <v>0</v>
      </c>
      <c r="D287" s="576">
        <f>+Meni!D9</f>
        <v>0</v>
      </c>
      <c r="E287" s="576">
        <f>+Meni!E9</f>
        <v>0</v>
      </c>
      <c r="F287" s="576">
        <f>+Meni!F9</f>
        <v>0</v>
      </c>
      <c r="G287" s="577">
        <f>+Meni!G9</f>
        <v>0</v>
      </c>
    </row>
    <row r="288" ht="12" customHeight="1" thickTop="1">
      <c r="B288" s="568"/>
    </row>
    <row r="289" ht="12" customHeight="1">
      <c r="B289" s="545" t="s">
        <v>1320</v>
      </c>
    </row>
    <row r="290" ht="12" customHeight="1">
      <c r="B290" s="545" t="s">
        <v>1233</v>
      </c>
    </row>
    <row r="292" ht="12" customHeight="1">
      <c r="B292" s="536" t="s">
        <v>1234</v>
      </c>
    </row>
    <row r="293" ht="12" customHeight="1">
      <c r="B293" s="545"/>
    </row>
    <row r="294" ht="12" customHeight="1">
      <c r="B294" s="578" t="s">
        <v>1275</v>
      </c>
    </row>
    <row r="295" ht="12" customHeight="1" thickBot="1">
      <c r="B295" s="578"/>
    </row>
    <row r="296" spans="2:7" ht="12" customHeight="1" thickTop="1">
      <c r="B296" s="579" t="s">
        <v>1276</v>
      </c>
      <c r="C296" s="580">
        <v>2003</v>
      </c>
      <c r="D296" s="580">
        <f>+C296+1</f>
        <v>2004</v>
      </c>
      <c r="E296" s="580">
        <f>+D296+1</f>
        <v>2005</v>
      </c>
      <c r="F296" s="580">
        <f>+E296+1</f>
        <v>2006</v>
      </c>
      <c r="G296" s="580">
        <f>+F296+1</f>
        <v>2007</v>
      </c>
    </row>
    <row r="297" spans="2:7" ht="15" customHeight="1" thickBot="1">
      <c r="B297" s="581" t="s">
        <v>1277</v>
      </c>
      <c r="C297" s="582">
        <f>+Meni!C52/100</f>
        <v>0.67</v>
      </c>
      <c r="D297" s="582">
        <f>+Meni!D52/100</f>
        <v>0.6834</v>
      </c>
      <c r="E297" s="582">
        <f>+Meni!E52/100</f>
        <v>0.6925120000000001</v>
      </c>
      <c r="F297" s="582">
        <f>+Meni!F52/100</f>
        <v>0.7017454933333335</v>
      </c>
      <c r="G297" s="583">
        <f>+Meni!G52/100</f>
        <v>0.7111020999111113</v>
      </c>
    </row>
    <row r="298" ht="12" customHeight="1" thickTop="1"/>
    <row r="299" ht="11.25" customHeight="1">
      <c r="B299" s="540" t="s">
        <v>1278</v>
      </c>
    </row>
    <row r="300" ht="12" customHeight="1">
      <c r="B300" s="540"/>
    </row>
    <row r="302" ht="12" customHeight="1">
      <c r="B302" s="541" t="s">
        <v>1279</v>
      </c>
    </row>
    <row r="303" ht="12" customHeight="1">
      <c r="B303" s="538"/>
    </row>
    <row r="304" ht="12" customHeight="1" thickBot="1">
      <c r="B304" s="538" t="s">
        <v>1280</v>
      </c>
    </row>
    <row r="305" spans="2:7" ht="12" customHeight="1" thickTop="1">
      <c r="B305" s="1005" t="s">
        <v>1398</v>
      </c>
      <c r="C305" s="1007" t="s">
        <v>1399</v>
      </c>
      <c r="D305" s="1007"/>
      <c r="E305" s="1007"/>
      <c r="F305" s="1007"/>
      <c r="G305" s="1008"/>
    </row>
    <row r="306" spans="2:7" ht="12" customHeight="1">
      <c r="B306" s="1006"/>
      <c r="C306" s="584" t="s">
        <v>1400</v>
      </c>
      <c r="D306" s="584" t="s">
        <v>1401</v>
      </c>
      <c r="E306" s="584" t="s">
        <v>1402</v>
      </c>
      <c r="F306" s="584" t="s">
        <v>1403</v>
      </c>
      <c r="G306" s="585" t="s">
        <v>1404</v>
      </c>
    </row>
    <row r="307" spans="2:7" ht="12" customHeight="1">
      <c r="B307" s="586"/>
      <c r="C307" s="584"/>
      <c r="D307" s="584"/>
      <c r="E307" s="584"/>
      <c r="F307" s="584"/>
      <c r="G307" s="585"/>
    </row>
    <row r="308" spans="2:7" ht="12" customHeight="1">
      <c r="B308" s="586" t="s">
        <v>123</v>
      </c>
      <c r="C308" s="587">
        <f>+'P,R, BU'!C7</f>
        <v>0.02</v>
      </c>
      <c r="D308" s="587">
        <f>+'P,R, BU'!D7</f>
        <v>0.02</v>
      </c>
      <c r="E308" s="587">
        <f>+'P,R, BU'!E7</f>
        <v>0.013333333333333332</v>
      </c>
      <c r="F308" s="587">
        <f>+'P,R, BU'!F7</f>
        <v>0.013333333333333332</v>
      </c>
      <c r="G308" s="588">
        <f>+'P,R, BU'!G7</f>
        <v>0.013333333333333332</v>
      </c>
    </row>
    <row r="309" spans="2:7" ht="12" customHeight="1">
      <c r="B309" s="586"/>
      <c r="C309" s="587">
        <f>+'P,R, BU'!C8</f>
        <v>0.02</v>
      </c>
      <c r="D309" s="587">
        <f>+'P,R, BU'!D8</f>
        <v>0.02</v>
      </c>
      <c r="E309" s="587">
        <f>+'P,R, BU'!E8</f>
        <v>0.013333333333333332</v>
      </c>
      <c r="F309" s="587">
        <f>+'P,R, BU'!F8</f>
        <v>0.013333333333333332</v>
      </c>
      <c r="G309" s="588">
        <f>+'P,R, BU'!G8</f>
        <v>0.013333333333333332</v>
      </c>
    </row>
    <row r="310" spans="2:7" ht="12" customHeight="1">
      <c r="B310" s="586" t="s">
        <v>91</v>
      </c>
      <c r="C310" s="587">
        <f>+'P,R, BU'!C9</f>
        <v>0</v>
      </c>
      <c r="D310" s="587">
        <f>+'P,R, BU'!D9</f>
        <v>0</v>
      </c>
      <c r="E310" s="587">
        <f>+'P,R, BU'!E9</f>
        <v>0</v>
      </c>
      <c r="F310" s="587">
        <f>+'P,R, BU'!F9</f>
        <v>0</v>
      </c>
      <c r="G310" s="588">
        <f>+'P,R, BU'!G9</f>
        <v>0</v>
      </c>
    </row>
    <row r="311" spans="2:7" ht="12" customHeight="1">
      <c r="B311" s="586"/>
      <c r="C311" s="587">
        <f>+'P,R, BU'!C10</f>
        <v>0</v>
      </c>
      <c r="D311" s="587">
        <f>+'P,R, BU'!D10</f>
        <v>0</v>
      </c>
      <c r="E311" s="587">
        <f>+'P,R, BU'!E10</f>
        <v>0</v>
      </c>
      <c r="F311" s="587">
        <f>+'P,R, BU'!F10</f>
        <v>0</v>
      </c>
      <c r="G311" s="588">
        <f>+'P,R, BU'!G10</f>
        <v>0</v>
      </c>
    </row>
    <row r="312" spans="2:7" ht="12" customHeight="1">
      <c r="B312" s="586" t="s">
        <v>93</v>
      </c>
      <c r="C312" s="587">
        <f>+'P,R, BU'!C11</f>
        <v>0</v>
      </c>
      <c r="D312" s="587">
        <f>+'P,R, BU'!D11</f>
        <v>0</v>
      </c>
      <c r="E312" s="587">
        <f>+'P,R, BU'!E11</f>
        <v>0</v>
      </c>
      <c r="F312" s="587">
        <f>+'P,R, BU'!F11</f>
        <v>0</v>
      </c>
      <c r="G312" s="588">
        <f>+'P,R, BU'!G11</f>
        <v>0</v>
      </c>
    </row>
    <row r="313" spans="2:7" ht="12" customHeight="1">
      <c r="B313" s="586"/>
      <c r="C313" s="587">
        <f>+'P,R, BU'!C12</f>
        <v>0</v>
      </c>
      <c r="D313" s="587">
        <f>+'P,R, BU'!D12</f>
        <v>0</v>
      </c>
      <c r="E313" s="587">
        <f>+'P,R, BU'!E12</f>
        <v>0</v>
      </c>
      <c r="F313" s="587">
        <f>+'P,R, BU'!F12</f>
        <v>0</v>
      </c>
      <c r="G313" s="588">
        <f>+'P,R, BU'!G12</f>
        <v>0</v>
      </c>
    </row>
    <row r="314" spans="2:7" ht="12" customHeight="1">
      <c r="B314" s="589" t="s">
        <v>124</v>
      </c>
      <c r="C314" s="587">
        <f>+'P,R, BU'!C13</f>
        <v>0.020000000000000018</v>
      </c>
      <c r="D314" s="587">
        <f>+'P,R, BU'!D13</f>
        <v>0.020000000000000018</v>
      </c>
      <c r="E314" s="587">
        <f>+'P,R, BU'!E13</f>
        <v>0.01333333333333342</v>
      </c>
      <c r="F314" s="587">
        <f>+'P,R, BU'!F13</f>
        <v>0.01333333333333342</v>
      </c>
      <c r="G314" s="588">
        <f>+'P,R, BU'!G13</f>
        <v>0.01333333333333342</v>
      </c>
    </row>
    <row r="315" spans="2:7" ht="12" customHeight="1">
      <c r="B315" s="589"/>
      <c r="C315" s="587">
        <f>+'P,R, BU'!C14</f>
        <v>0</v>
      </c>
      <c r="D315" s="587">
        <f>+'P,R, BU'!D14</f>
        <v>0</v>
      </c>
      <c r="E315" s="587">
        <f>+'P,R, BU'!E14</f>
        <v>0</v>
      </c>
      <c r="F315" s="587">
        <f>+'P,R, BU'!F14</f>
        <v>0</v>
      </c>
      <c r="G315" s="588">
        <f>+'P,R, BU'!G14</f>
        <v>0</v>
      </c>
    </row>
    <row r="316" spans="2:7" ht="12" customHeight="1" thickBot="1">
      <c r="B316" s="590" t="s">
        <v>1405</v>
      </c>
      <c r="C316" s="591">
        <f>+'P,R, BU'!C15</f>
        <v>107141.76900000001</v>
      </c>
      <c r="D316" s="591">
        <f>+'P,R, BU'!D15</f>
        <v>109284.60438000002</v>
      </c>
      <c r="E316" s="591">
        <f>+'P,R, BU'!E15</f>
        <v>110741.73243840002</v>
      </c>
      <c r="F316" s="591">
        <f>+'P,R, BU'!F15</f>
        <v>112218.28887091203</v>
      </c>
      <c r="G316" s="592">
        <f>+'P,R, BU'!G15</f>
        <v>113714.5327225242</v>
      </c>
    </row>
    <row r="317" ht="12" customHeight="1" thickTop="1"/>
    <row r="318" ht="12" customHeight="1">
      <c r="B318" s="540" t="s">
        <v>189</v>
      </c>
    </row>
    <row r="319" ht="12" customHeight="1">
      <c r="B319" s="593" t="s">
        <v>190</v>
      </c>
    </row>
    <row r="320" ht="12" customHeight="1" thickBot="1"/>
    <row r="321" spans="2:8" ht="12" customHeight="1" thickTop="1">
      <c r="B321" s="1005" t="s">
        <v>1398</v>
      </c>
      <c r="C321" s="1007" t="s">
        <v>1399</v>
      </c>
      <c r="D321" s="1007"/>
      <c r="E321" s="1007"/>
      <c r="F321" s="1007"/>
      <c r="G321" s="1007"/>
      <c r="H321" s="1008"/>
    </row>
    <row r="322" spans="2:8" ht="12" customHeight="1">
      <c r="B322" s="1006"/>
      <c r="C322" s="584">
        <v>2002</v>
      </c>
      <c r="D322" s="584">
        <f>+C322-1</f>
        <v>2001</v>
      </c>
      <c r="E322" s="584">
        <f>+D322-1</f>
        <v>2000</v>
      </c>
      <c r="F322" s="584">
        <f>+E322-1</f>
        <v>1999</v>
      </c>
      <c r="G322" s="584">
        <f>+F322-1</f>
        <v>1998</v>
      </c>
      <c r="H322" s="585" t="s">
        <v>1410</v>
      </c>
    </row>
    <row r="323" spans="2:8" ht="12" customHeight="1">
      <c r="B323" s="586"/>
      <c r="C323" s="584"/>
      <c r="D323" s="584"/>
      <c r="E323" s="584"/>
      <c r="F323" s="584"/>
      <c r="G323" s="584"/>
      <c r="H323" s="585"/>
    </row>
    <row r="324" spans="2:8" ht="12" customHeight="1" thickBot="1">
      <c r="B324" s="594" t="s">
        <v>126</v>
      </c>
      <c r="C324" s="595">
        <f>+'P,R, BU'!C41</f>
        <v>0.005091943391910572</v>
      </c>
      <c r="D324" s="595">
        <f>+'P,R, BU'!D41</f>
        <v>0.005091943391910572</v>
      </c>
      <c r="E324" s="595">
        <f>+'P,R, BU'!E41</f>
        <v>0.012689943162046167</v>
      </c>
      <c r="F324" s="595">
        <f>+'P,R, BU'!F41</f>
        <v>0.012689943162046167</v>
      </c>
      <c r="G324" s="595">
        <f>+'P,R, BU'!G41</f>
        <v>0</v>
      </c>
      <c r="H324" s="596">
        <f>+'P,R, BU'!H41</f>
        <v>0.007112754621582696</v>
      </c>
    </row>
    <row r="325" ht="12" customHeight="1" thickTop="1">
      <c r="B325" s="548"/>
    </row>
    <row r="326" ht="12" customHeight="1">
      <c r="B326" s="548" t="s">
        <v>1286</v>
      </c>
    </row>
    <row r="327" ht="12" customHeight="1">
      <c r="B327" s="548"/>
    </row>
    <row r="328" ht="12" customHeight="1">
      <c r="B328" s="578" t="s">
        <v>160</v>
      </c>
    </row>
    <row r="329" ht="12" customHeight="1">
      <c r="C329" s="538" t="s">
        <v>1280</v>
      </c>
    </row>
    <row r="330" ht="12" customHeight="1" thickBot="1">
      <c r="B330" s="548"/>
    </row>
    <row r="331" spans="2:7" ht="12" customHeight="1" thickTop="1">
      <c r="B331" s="1005" t="s">
        <v>1398</v>
      </c>
      <c r="C331" s="1007" t="s">
        <v>1399</v>
      </c>
      <c r="D331" s="1007"/>
      <c r="E331" s="1007"/>
      <c r="F331" s="1007"/>
      <c r="G331" s="1008"/>
    </row>
    <row r="332" spans="2:7" ht="12" customHeight="1">
      <c r="B332" s="1006"/>
      <c r="C332" s="584" t="s">
        <v>1400</v>
      </c>
      <c r="D332" s="584" t="s">
        <v>1401</v>
      </c>
      <c r="E332" s="584" t="s">
        <v>1402</v>
      </c>
      <c r="F332" s="584" t="s">
        <v>1403</v>
      </c>
      <c r="G332" s="585" t="s">
        <v>1404</v>
      </c>
    </row>
    <row r="333" spans="2:7" ht="12" customHeight="1">
      <c r="B333" s="586"/>
      <c r="C333" s="584"/>
      <c r="D333" s="584"/>
      <c r="E333" s="584"/>
      <c r="F333" s="584"/>
      <c r="G333" s="585"/>
    </row>
    <row r="334" spans="2:7" ht="12" customHeight="1">
      <c r="B334" s="586" t="s">
        <v>127</v>
      </c>
      <c r="C334" s="597">
        <f>+'P,R, BU'!C50</f>
        <v>107141.76900000001</v>
      </c>
      <c r="D334" s="597">
        <f>+'P,R, BU'!D50</f>
        <v>109284.60438000002</v>
      </c>
      <c r="E334" s="597">
        <f>+'P,R, BU'!E50</f>
        <v>110741.73243840002</v>
      </c>
      <c r="F334" s="597">
        <f>+'P,R, BU'!F50</f>
        <v>112218.28887091203</v>
      </c>
      <c r="G334" s="598">
        <f>+'P,R, BU'!G50</f>
        <v>113714.5327225242</v>
      </c>
    </row>
    <row r="335" spans="2:7" ht="12" customHeight="1">
      <c r="B335" s="586" t="s">
        <v>128</v>
      </c>
      <c r="C335" s="597">
        <f>+'P,R, BU'!C51</f>
        <v>0</v>
      </c>
      <c r="D335" s="597">
        <f>+'P,R, BU'!D51</f>
        <v>0</v>
      </c>
      <c r="E335" s="597">
        <f>+'P,R, BU'!E51</f>
        <v>0</v>
      </c>
      <c r="F335" s="597">
        <f>+'P,R, BU'!F51</f>
        <v>0</v>
      </c>
      <c r="G335" s="598">
        <f>+'P,R, BU'!G51</f>
        <v>0</v>
      </c>
    </row>
    <row r="336" spans="2:7" ht="12" customHeight="1">
      <c r="B336" s="586" t="s">
        <v>1357</v>
      </c>
      <c r="C336" s="597">
        <f>+'P,R, BU'!C52</f>
        <v>767.5323821174097</v>
      </c>
      <c r="D336" s="597">
        <f>+'P,R, BU'!D52</f>
        <v>782.8830297597597</v>
      </c>
      <c r="E336" s="597">
        <f>+'P,R, BU'!E52</f>
        <v>793.3214701565594</v>
      </c>
      <c r="F336" s="597">
        <f>+'P,R, BU'!F52</f>
        <v>803.8990897586482</v>
      </c>
      <c r="G336" s="598">
        <f>+'P,R, BU'!G52</f>
        <v>814.6177442887565</v>
      </c>
    </row>
    <row r="337" spans="2:7" ht="12" customHeight="1">
      <c r="B337" s="586"/>
      <c r="C337" s="597">
        <f>+'P,R, BU'!C53</f>
        <v>0</v>
      </c>
      <c r="D337" s="597">
        <f>+'P,R, BU'!D53</f>
        <v>0</v>
      </c>
      <c r="E337" s="597">
        <f>+'P,R, BU'!E53</f>
        <v>0</v>
      </c>
      <c r="F337" s="597">
        <f>+'P,R, BU'!F53</f>
        <v>0</v>
      </c>
      <c r="G337" s="598">
        <f>+'P,R, BU'!G53</f>
        <v>0</v>
      </c>
    </row>
    <row r="338" spans="2:7" ht="12" customHeight="1" thickBot="1">
      <c r="B338" s="590" t="s">
        <v>1408</v>
      </c>
      <c r="C338" s="599">
        <f>+'P,R, BU'!C54</f>
        <v>107909.30138211742</v>
      </c>
      <c r="D338" s="599">
        <f>+'P,R, BU'!D54</f>
        <v>110067.48740975978</v>
      </c>
      <c r="E338" s="599">
        <f>+'P,R, BU'!E54</f>
        <v>111535.05390855658</v>
      </c>
      <c r="F338" s="599">
        <f>+'P,R, BU'!F54</f>
        <v>113022.18796067068</v>
      </c>
      <c r="G338" s="600">
        <f>+'P,R, BU'!G54</f>
        <v>114529.15046681296</v>
      </c>
    </row>
    <row r="339" s="568" customFormat="1" ht="12" customHeight="1" thickTop="1"/>
    <row r="340" ht="12" customHeight="1">
      <c r="B340" s="601"/>
    </row>
    <row r="341" ht="12" customHeight="1">
      <c r="B341" s="548"/>
    </row>
    <row r="342" ht="12" customHeight="1">
      <c r="B342" s="602"/>
    </row>
    <row r="343" ht="12" customHeight="1">
      <c r="B343" s="603" t="s">
        <v>1235</v>
      </c>
    </row>
    <row r="344" ht="12" customHeight="1">
      <c r="B344" s="548"/>
    </row>
    <row r="345" ht="12" customHeight="1">
      <c r="B345" s="548"/>
    </row>
    <row r="346" ht="12" customHeight="1">
      <c r="B346" s="602" t="s">
        <v>103</v>
      </c>
    </row>
    <row r="347" ht="12" customHeight="1">
      <c r="B347" s="548"/>
    </row>
    <row r="348" ht="12" customHeight="1">
      <c r="B348" s="538" t="s">
        <v>846</v>
      </c>
    </row>
    <row r="349" ht="12" customHeight="1">
      <c r="B349" s="539" t="s">
        <v>847</v>
      </c>
    </row>
    <row r="350" ht="12" customHeight="1">
      <c r="B350" s="604">
        <f>+'Radna '!F3</f>
        <v>0.87</v>
      </c>
    </row>
    <row r="351" ht="12" customHeight="1">
      <c r="B351" s="539" t="s">
        <v>848</v>
      </c>
    </row>
    <row r="352" ht="12" customHeight="1">
      <c r="B352" s="539" t="s">
        <v>849</v>
      </c>
    </row>
    <row r="353" ht="12" customHeight="1">
      <c r="B353" s="551" t="s">
        <v>852</v>
      </c>
    </row>
    <row r="354" ht="12" customHeight="1">
      <c r="B354" s="539" t="s">
        <v>853</v>
      </c>
    </row>
    <row r="355" ht="12" customHeight="1">
      <c r="B355" s="551" t="s">
        <v>854</v>
      </c>
    </row>
    <row r="356" ht="12" customHeight="1">
      <c r="B356" s="539" t="s">
        <v>855</v>
      </c>
    </row>
    <row r="357" ht="12" customHeight="1">
      <c r="B357" s="605">
        <f>+'Radna '!C13</f>
        <v>2029.2949950000004</v>
      </c>
    </row>
    <row r="358" ht="12" customHeight="1">
      <c r="B358" s="539" t="s">
        <v>1236</v>
      </c>
    </row>
    <row r="359" ht="12" customHeight="1">
      <c r="B359" s="538" t="s">
        <v>850</v>
      </c>
    </row>
    <row r="360" ht="12" customHeight="1">
      <c r="B360" s="538" t="s">
        <v>851</v>
      </c>
    </row>
    <row r="361" ht="12" customHeight="1">
      <c r="B361" s="540"/>
    </row>
    <row r="362" ht="12" customHeight="1">
      <c r="B362" s="578" t="s">
        <v>161</v>
      </c>
    </row>
    <row r="364" spans="2:5" ht="12" customHeight="1" thickBot="1">
      <c r="B364" s="540"/>
      <c r="E364" s="606" t="s">
        <v>1237</v>
      </c>
    </row>
    <row r="365" spans="2:7" ht="12" customHeight="1" thickTop="1">
      <c r="B365" s="1005" t="s">
        <v>1398</v>
      </c>
      <c r="C365" s="1007" t="s">
        <v>1399</v>
      </c>
      <c r="D365" s="1007"/>
      <c r="E365" s="1007"/>
      <c r="F365" s="1007"/>
      <c r="G365" s="1008"/>
    </row>
    <row r="366" spans="2:7" ht="12" customHeight="1">
      <c r="B366" s="1006"/>
      <c r="C366" s="584" t="s">
        <v>1400</v>
      </c>
      <c r="D366" s="584" t="s">
        <v>1401</v>
      </c>
      <c r="E366" s="584" t="s">
        <v>1402</v>
      </c>
      <c r="F366" s="584" t="s">
        <v>1403</v>
      </c>
      <c r="G366" s="585" t="s">
        <v>1404</v>
      </c>
    </row>
    <row r="367" spans="2:7" ht="12" customHeight="1">
      <c r="B367" s="586"/>
      <c r="C367" s="584"/>
      <c r="D367" s="584"/>
      <c r="E367" s="584"/>
      <c r="F367" s="584"/>
      <c r="G367" s="585"/>
    </row>
    <row r="368" spans="2:7" ht="12" customHeight="1">
      <c r="B368" s="586" t="s">
        <v>130</v>
      </c>
      <c r="C368" s="607">
        <f>+'P,R, BU'!C64</f>
        <v>20717.12419448826</v>
      </c>
      <c r="D368" s="607">
        <f>+'P,R, BU'!D64</f>
        <v>21131.466678378027</v>
      </c>
      <c r="E368" s="607">
        <f>+'P,R, BU'!E64</f>
        <v>21413.219567423068</v>
      </c>
      <c r="F368" s="607">
        <f>+'P,R, BU'!F64</f>
        <v>21698.729161655378</v>
      </c>
      <c r="G368" s="608">
        <f>+'P,R, BU'!G64</f>
        <v>21988.04555047745</v>
      </c>
    </row>
    <row r="369" spans="2:7" ht="12" customHeight="1">
      <c r="B369" s="586" t="s">
        <v>131</v>
      </c>
      <c r="C369" s="607">
        <f>+'P,R, BU'!C65</f>
        <v>2029.2949950000004</v>
      </c>
      <c r="D369" s="607">
        <f>+'P,R, BU'!D65</f>
        <v>2029.2949950000004</v>
      </c>
      <c r="E369" s="607">
        <f>+'P,R, BU'!E65</f>
        <v>2029.2949950000004</v>
      </c>
      <c r="F369" s="607">
        <f>+'P,R, BU'!F65</f>
        <v>2029.2949950000004</v>
      </c>
      <c r="G369" s="608">
        <f>+'P,R, BU'!G65</f>
        <v>2029.2949950000004</v>
      </c>
    </row>
    <row r="370" spans="2:7" ht="12" customHeight="1">
      <c r="B370" s="589" t="str">
        <f>+'P,R, BU'!B66</f>
        <v>Potencijalne uštede u %</v>
      </c>
      <c r="C370" s="609">
        <f>+'P,R, BU'!C66</f>
        <v>-1</v>
      </c>
      <c r="D370" s="609">
        <f>+'P,R, BU'!D66</f>
        <v>-0.9</v>
      </c>
      <c r="E370" s="609">
        <f>+'P,R, BU'!E66</f>
        <v>-0.8</v>
      </c>
      <c r="F370" s="609">
        <f>+'P,R, BU'!F66</f>
        <v>-0.7</v>
      </c>
      <c r="G370" s="610">
        <f>+'P,R, BU'!G66</f>
        <v>-0.6</v>
      </c>
    </row>
    <row r="371" spans="2:7" ht="12" customHeight="1">
      <c r="B371" s="586"/>
      <c r="C371" s="607">
        <f>+'P,R, BU'!C67</f>
        <v>0</v>
      </c>
      <c r="D371" s="607">
        <f>+'P,R, BU'!D67</f>
        <v>0</v>
      </c>
      <c r="E371" s="607">
        <f>+'P,R, BU'!E67</f>
        <v>0</v>
      </c>
      <c r="F371" s="607">
        <f>+'P,R, BU'!F67</f>
        <v>0</v>
      </c>
      <c r="G371" s="608">
        <f>+'P,R, BU'!G67</f>
        <v>0</v>
      </c>
    </row>
    <row r="372" spans="2:7" ht="12" customHeight="1">
      <c r="B372" s="589" t="s">
        <v>132</v>
      </c>
      <c r="C372" s="607">
        <f>+'P,R, BU'!C68</f>
        <v>22745.41918948826</v>
      </c>
      <c r="D372" s="607">
        <f>+'P,R, BU'!D68</f>
        <v>23159.861673378025</v>
      </c>
      <c r="E372" s="607">
        <f>+'P,R, BU'!E68</f>
        <v>23441.71456242307</v>
      </c>
      <c r="F372" s="607">
        <f>+'P,R, BU'!F68</f>
        <v>23727.324156655377</v>
      </c>
      <c r="G372" s="608">
        <f>+'P,R, BU'!G68</f>
        <v>24016.740545477453</v>
      </c>
    </row>
    <row r="373" spans="2:7" ht="12" customHeight="1" thickBot="1">
      <c r="B373" s="594"/>
      <c r="C373" s="611">
        <f>+'P,R, BU'!C69</f>
        <v>2028.2949950000004</v>
      </c>
      <c r="D373" s="611">
        <f>+'P,R, BU'!D69</f>
        <v>2028.3949950000003</v>
      </c>
      <c r="E373" s="611">
        <f>+'P,R, BU'!E69</f>
        <v>2028.4949950000005</v>
      </c>
      <c r="F373" s="611">
        <f>+'P,R, BU'!F69</f>
        <v>2028.5949950000004</v>
      </c>
      <c r="G373" s="612">
        <f>+'P,R, BU'!G69</f>
        <v>2028.6949950000005</v>
      </c>
    </row>
    <row r="374" spans="1:7" ht="12" customHeight="1" thickTop="1">
      <c r="A374" s="568"/>
      <c r="B374" s="568"/>
      <c r="C374" s="568"/>
      <c r="D374" s="568"/>
      <c r="E374" s="568"/>
      <c r="F374" s="568"/>
      <c r="G374" s="568"/>
    </row>
    <row r="375" spans="1:7" ht="12" customHeight="1">
      <c r="A375" s="568"/>
      <c r="B375" s="568"/>
      <c r="C375" s="568"/>
      <c r="D375" s="568"/>
      <c r="E375" s="568"/>
      <c r="F375" s="568"/>
      <c r="G375" s="568"/>
    </row>
    <row r="376" ht="12" customHeight="1">
      <c r="B376" s="602" t="s">
        <v>105</v>
      </c>
    </row>
    <row r="377" ht="12" customHeight="1">
      <c r="B377" s="548"/>
    </row>
    <row r="378" ht="12" customHeight="1">
      <c r="B378" s="538" t="s">
        <v>856</v>
      </c>
    </row>
    <row r="379" ht="12" customHeight="1">
      <c r="B379" s="539" t="s">
        <v>857</v>
      </c>
    </row>
    <row r="380" ht="12" customHeight="1">
      <c r="B380" s="604">
        <f>+'Radna '!F7</f>
        <v>0.875</v>
      </c>
    </row>
    <row r="381" ht="12" customHeight="1">
      <c r="B381" s="539" t="s">
        <v>858</v>
      </c>
    </row>
    <row r="382" ht="12" customHeight="1">
      <c r="B382" s="539" t="s">
        <v>859</v>
      </c>
    </row>
    <row r="383" ht="12" customHeight="1">
      <c r="B383" s="605">
        <f>+'Radna '!C17</f>
        <v>776.4001875</v>
      </c>
    </row>
    <row r="384" ht="12" customHeight="1">
      <c r="B384" s="539" t="s">
        <v>1238</v>
      </c>
    </row>
    <row r="385" ht="12" customHeight="1">
      <c r="B385" s="539" t="s">
        <v>860</v>
      </c>
    </row>
    <row r="386" ht="12" customHeight="1">
      <c r="B386" s="538" t="s">
        <v>861</v>
      </c>
    </row>
    <row r="387" ht="12" customHeight="1">
      <c r="B387" s="538" t="s">
        <v>862</v>
      </c>
    </row>
    <row r="388" ht="12" customHeight="1">
      <c r="B388" s="540"/>
    </row>
    <row r="389" ht="12" customHeight="1">
      <c r="B389" s="540"/>
    </row>
    <row r="391" spans="2:3" ht="12" customHeight="1">
      <c r="B391" s="578" t="s">
        <v>163</v>
      </c>
      <c r="C391" s="613"/>
    </row>
    <row r="392" spans="2:5" ht="12" customHeight="1" thickBot="1">
      <c r="B392" s="540"/>
      <c r="E392" s="606" t="s">
        <v>1237</v>
      </c>
    </row>
    <row r="393" spans="2:7" ht="12" customHeight="1" thickTop="1">
      <c r="B393" s="1009" t="s">
        <v>1398</v>
      </c>
      <c r="C393" s="1011" t="s">
        <v>1399</v>
      </c>
      <c r="D393" s="1011"/>
      <c r="E393" s="1011"/>
      <c r="F393" s="1011"/>
      <c r="G393" s="1012"/>
    </row>
    <row r="394" spans="2:7" ht="12" customHeight="1">
      <c r="B394" s="1010"/>
      <c r="C394" s="584" t="s">
        <v>1400</v>
      </c>
      <c r="D394" s="584" t="s">
        <v>1401</v>
      </c>
      <c r="E394" s="584" t="s">
        <v>1402</v>
      </c>
      <c r="F394" s="584" t="s">
        <v>1403</v>
      </c>
      <c r="G394" s="614" t="s">
        <v>1404</v>
      </c>
    </row>
    <row r="395" spans="2:7" ht="12" customHeight="1">
      <c r="B395" s="615"/>
      <c r="C395" s="584"/>
      <c r="D395" s="584"/>
      <c r="E395" s="584"/>
      <c r="F395" s="584"/>
      <c r="G395" s="614"/>
    </row>
    <row r="396" spans="2:7" ht="12" customHeight="1">
      <c r="B396" s="615" t="s">
        <v>135</v>
      </c>
      <c r="C396" s="616">
        <f>+'P,R, BU'!C77</f>
        <v>8290.716344590062</v>
      </c>
      <c r="D396" s="616">
        <f>+'P,R, BU'!D77</f>
        <v>8456.530671481863</v>
      </c>
      <c r="E396" s="616">
        <f>+'P,R, BU'!E77</f>
        <v>8569.28441376829</v>
      </c>
      <c r="F396" s="616">
        <f>+'P,R, BU'!F77</f>
        <v>8683.541539285201</v>
      </c>
      <c r="G396" s="617">
        <f>+'P,R, BU'!G77</f>
        <v>8799.322093142338</v>
      </c>
    </row>
    <row r="397" spans="2:7" ht="12" customHeight="1">
      <c r="B397" s="615" t="s">
        <v>134</v>
      </c>
      <c r="C397" s="616">
        <f>+'P,R, BU'!C78</f>
        <v>776.4001875</v>
      </c>
      <c r="D397" s="616">
        <f>+'P,R, BU'!D78</f>
        <v>776.4001875</v>
      </c>
      <c r="E397" s="616">
        <f>+'P,R, BU'!E78</f>
        <v>776.4001875</v>
      </c>
      <c r="F397" s="616">
        <f>+'P,R, BU'!F78</f>
        <v>776.4001875</v>
      </c>
      <c r="G397" s="617">
        <f>+'P,R, BU'!G78</f>
        <v>776.4001875</v>
      </c>
    </row>
    <row r="398" spans="2:7" ht="12" customHeight="1">
      <c r="B398" s="615" t="s">
        <v>1411</v>
      </c>
      <c r="C398" s="616">
        <f>+'P,R, BU'!C79</f>
        <v>9067.116532090062</v>
      </c>
      <c r="D398" s="616">
        <f>+'P,R, BU'!D79</f>
        <v>9232.930858981863</v>
      </c>
      <c r="E398" s="616">
        <f>+'P,R, BU'!E79</f>
        <v>9345.684601268289</v>
      </c>
      <c r="F398" s="616">
        <f>+'P,R, BU'!F79</f>
        <v>9459.9417267852</v>
      </c>
      <c r="G398" s="617">
        <f>+'P,R, BU'!G79</f>
        <v>9575.722280642338</v>
      </c>
    </row>
    <row r="399" spans="2:7" ht="12" customHeight="1">
      <c r="B399" s="615" t="s">
        <v>93</v>
      </c>
      <c r="C399" s="616">
        <f>+'P,R, BU'!C80</f>
        <v>0.02</v>
      </c>
      <c r="D399" s="616">
        <f>+'P,R, BU'!D80</f>
        <v>0.02</v>
      </c>
      <c r="E399" s="616">
        <f>+'P,R, BU'!E80</f>
        <v>0.013333333333333332</v>
      </c>
      <c r="F399" s="616">
        <f>+'P,R, BU'!F80</f>
        <v>0.013333333333333332</v>
      </c>
      <c r="G399" s="617">
        <f>+'P,R, BU'!G80</f>
        <v>0.013333333333333332</v>
      </c>
    </row>
    <row r="400" spans="2:7" ht="12" customHeight="1">
      <c r="B400" s="618" t="s">
        <v>1412</v>
      </c>
      <c r="C400" s="619">
        <f>+'P,R, BU'!C81</f>
        <v>1.02</v>
      </c>
      <c r="D400" s="619">
        <f>+'P,R, BU'!D81</f>
        <v>1.0404</v>
      </c>
      <c r="E400" s="619">
        <f>+'P,R, BU'!E81</f>
        <v>1.054</v>
      </c>
      <c r="F400" s="619">
        <f>+'P,R, BU'!F81</f>
        <v>1.0676</v>
      </c>
      <c r="G400" s="620">
        <f>+'P,R, BU'!G81</f>
        <v>1.0812000000000002</v>
      </c>
    </row>
    <row r="401" spans="2:7" ht="12" customHeight="1">
      <c r="B401" s="615"/>
      <c r="C401" s="621"/>
      <c r="D401" s="621"/>
      <c r="E401" s="621"/>
      <c r="F401" s="621"/>
      <c r="G401" s="622"/>
    </row>
    <row r="402" spans="2:7" ht="12" customHeight="1" thickBot="1">
      <c r="B402" s="623" t="s">
        <v>165</v>
      </c>
      <c r="C402" s="624">
        <f>+'P,R, BU'!C83</f>
        <v>9248.458862731863</v>
      </c>
      <c r="D402" s="624">
        <f>+'P,R, BU'!D83</f>
        <v>9605.94126568473</v>
      </c>
      <c r="E402" s="624">
        <f>+'P,R, BU'!E83</f>
        <v>9850.351569736777</v>
      </c>
      <c r="F402" s="624">
        <f>+'P,R, BU'!F83</f>
        <v>10099.433787515882</v>
      </c>
      <c r="G402" s="625">
        <f>+'P,R, BU'!G83</f>
        <v>10353.270929830498</v>
      </c>
    </row>
    <row r="403" s="568" customFormat="1" ht="12" customHeight="1" thickTop="1"/>
    <row r="404" ht="12" customHeight="1">
      <c r="B404" s="601"/>
    </row>
    <row r="405" ht="12" customHeight="1">
      <c r="B405" s="540"/>
    </row>
    <row r="406" ht="12" customHeight="1">
      <c r="B406" s="602" t="s">
        <v>104</v>
      </c>
    </row>
    <row r="407" ht="12" customHeight="1">
      <c r="B407" s="548"/>
    </row>
    <row r="408" ht="12" customHeight="1">
      <c r="B408" s="538" t="s">
        <v>863</v>
      </c>
    </row>
    <row r="409" ht="12" customHeight="1">
      <c r="B409" s="539" t="s">
        <v>864</v>
      </c>
    </row>
    <row r="410" ht="12" customHeight="1">
      <c r="B410" s="539" t="s">
        <v>865</v>
      </c>
    </row>
    <row r="411" ht="12" customHeight="1">
      <c r="B411" s="539" t="s">
        <v>866</v>
      </c>
    </row>
    <row r="412" ht="12" customHeight="1">
      <c r="B412" s="604">
        <f>+'Radna '!F5</f>
        <v>0.6</v>
      </c>
    </row>
    <row r="413" ht="12" customHeight="1">
      <c r="B413" s="539" t="s">
        <v>1239</v>
      </c>
    </row>
    <row r="414" ht="12" customHeight="1">
      <c r="B414" s="539" t="s">
        <v>867</v>
      </c>
    </row>
    <row r="415" ht="12" customHeight="1">
      <c r="B415" s="540"/>
    </row>
    <row r="417" spans="2:3" ht="12" customHeight="1">
      <c r="B417" s="578" t="s">
        <v>169</v>
      </c>
      <c r="C417" s="613"/>
    </row>
    <row r="418" spans="2:5" ht="12" customHeight="1" thickBot="1">
      <c r="B418" s="578"/>
      <c r="E418" s="606" t="s">
        <v>1237</v>
      </c>
    </row>
    <row r="419" spans="2:7" ht="12" customHeight="1" thickTop="1">
      <c r="B419" s="1005" t="s">
        <v>1398</v>
      </c>
      <c r="C419" s="1007" t="s">
        <v>1399</v>
      </c>
      <c r="D419" s="1007"/>
      <c r="E419" s="1007"/>
      <c r="F419" s="1007"/>
      <c r="G419" s="1008"/>
    </row>
    <row r="420" spans="2:7" ht="12" customHeight="1">
      <c r="B420" s="1006"/>
      <c r="C420" s="584" t="s">
        <v>1400</v>
      </c>
      <c r="D420" s="584" t="s">
        <v>1401</v>
      </c>
      <c r="E420" s="584" t="s">
        <v>1402</v>
      </c>
      <c r="F420" s="584" t="s">
        <v>1403</v>
      </c>
      <c r="G420" s="585" t="s">
        <v>1404</v>
      </c>
    </row>
    <row r="421" spans="2:7" ht="12" customHeight="1">
      <c r="B421" s="586"/>
      <c r="C421" s="584"/>
      <c r="D421" s="584"/>
      <c r="E421" s="584"/>
      <c r="F421" s="584"/>
      <c r="G421" s="585"/>
    </row>
    <row r="422" spans="2:7" ht="12" customHeight="1" thickBot="1">
      <c r="B422" s="594" t="s">
        <v>140</v>
      </c>
      <c r="C422" s="626">
        <f>+'P,R, BU'!C112</f>
        <v>21158.548228744527</v>
      </c>
      <c r="D422" s="626">
        <f>+'P,R, BU'!D112</f>
        <v>21372.44369331942</v>
      </c>
      <c r="E422" s="626">
        <f>+'P,R, BU'!E112</f>
        <v>21517.892609230345</v>
      </c>
      <c r="F422" s="626">
        <f>+'P,R, BU'!F112</f>
        <v>21665.280844020082</v>
      </c>
      <c r="G422" s="627">
        <f>+'P,R, BU'!G112</f>
        <v>21814.63425527369</v>
      </c>
    </row>
    <row r="423" ht="12" customHeight="1" thickTop="1"/>
    <row r="424" ht="12" customHeight="1">
      <c r="B424" s="601"/>
    </row>
    <row r="425" ht="12" customHeight="1">
      <c r="B425" s="544" t="s">
        <v>148</v>
      </c>
    </row>
    <row r="426" ht="12" customHeight="1">
      <c r="B426" s="540"/>
    </row>
    <row r="427" ht="12" customHeight="1">
      <c r="B427" s="538" t="s">
        <v>1240</v>
      </c>
    </row>
    <row r="428" spans="2:3" ht="12" customHeight="1">
      <c r="B428" s="605">
        <f>+Meni!C4</f>
        <v>10678.698752228163</v>
      </c>
      <c r="C428" s="536" t="s">
        <v>871</v>
      </c>
    </row>
    <row r="429" ht="12" customHeight="1">
      <c r="B429" s="539" t="s">
        <v>868</v>
      </c>
    </row>
    <row r="430" ht="12" customHeight="1">
      <c r="B430" s="539" t="s">
        <v>872</v>
      </c>
    </row>
    <row r="431" ht="12" customHeight="1">
      <c r="B431" s="539" t="s">
        <v>869</v>
      </c>
    </row>
    <row r="432" ht="12" customHeight="1">
      <c r="B432" s="539" t="s">
        <v>870</v>
      </c>
    </row>
    <row r="433" ht="12" customHeight="1">
      <c r="B433" s="539"/>
    </row>
    <row r="434" ht="12" customHeight="1">
      <c r="B434" s="538" t="s">
        <v>873</v>
      </c>
    </row>
    <row r="435" ht="13.5" customHeight="1">
      <c r="B435" s="538" t="s">
        <v>874</v>
      </c>
    </row>
    <row r="436" s="401" customFormat="1" ht="12" customHeight="1"/>
    <row r="437" s="401" customFormat="1" ht="12" customHeight="1"/>
    <row r="438" s="401" customFormat="1" ht="12" customHeight="1">
      <c r="B438" s="601" t="s">
        <v>834</v>
      </c>
    </row>
    <row r="439" spans="3:5" s="401" customFormat="1" ht="12" customHeight="1" thickBot="1">
      <c r="C439" s="613"/>
      <c r="E439" s="606" t="s">
        <v>1237</v>
      </c>
    </row>
    <row r="440" spans="2:7" s="401" customFormat="1" ht="12" customHeight="1" thickTop="1">
      <c r="B440" s="1005" t="s">
        <v>1398</v>
      </c>
      <c r="C440" s="1007" t="s">
        <v>1399</v>
      </c>
      <c r="D440" s="1007"/>
      <c r="E440" s="1007"/>
      <c r="F440" s="1007"/>
      <c r="G440" s="1008"/>
    </row>
    <row r="441" spans="2:7" s="401" customFormat="1" ht="12" customHeight="1">
      <c r="B441" s="1006"/>
      <c r="C441" s="584" t="s">
        <v>1400</v>
      </c>
      <c r="D441" s="584" t="s">
        <v>1401</v>
      </c>
      <c r="E441" s="584" t="s">
        <v>1402</v>
      </c>
      <c r="F441" s="584" t="s">
        <v>1403</v>
      </c>
      <c r="G441" s="585" t="s">
        <v>1404</v>
      </c>
    </row>
    <row r="442" spans="2:7" s="401" customFormat="1" ht="12" customHeight="1">
      <c r="B442" s="586"/>
      <c r="C442" s="584"/>
      <c r="D442" s="584"/>
      <c r="E442" s="584"/>
      <c r="F442" s="584"/>
      <c r="G442" s="585"/>
    </row>
    <row r="443" spans="2:7" s="401" customFormat="1" ht="12" customHeight="1">
      <c r="B443" s="586" t="s">
        <v>110</v>
      </c>
      <c r="C443" s="628">
        <f>+'P,R, BU'!C91</f>
        <v>0.02</v>
      </c>
      <c r="D443" s="628">
        <f>+'P,R, BU'!D91</f>
        <v>0.02</v>
      </c>
      <c r="E443" s="628">
        <f>+'P,R, BU'!E91</f>
        <v>0.013333333333333332</v>
      </c>
      <c r="F443" s="628">
        <f>+'P,R, BU'!F91</f>
        <v>0.013333333333333332</v>
      </c>
      <c r="G443" s="629">
        <f>+'P,R, BU'!G91</f>
        <v>0.013333333333333332</v>
      </c>
    </row>
    <row r="444" spans="2:7" s="401" customFormat="1" ht="12" customHeight="1">
      <c r="B444" s="586" t="s">
        <v>111</v>
      </c>
      <c r="C444" s="630">
        <f>+'P,R, BU'!C92</f>
        <v>10.892272727272726</v>
      </c>
      <c r="D444" s="630">
        <f>+'P,R, BU'!D92</f>
        <v>11.110118181818182</v>
      </c>
      <c r="E444" s="630">
        <f>+'P,R, BU'!E92</f>
        <v>11.258253090909092</v>
      </c>
      <c r="F444" s="630">
        <f>+'P,R, BU'!F92</f>
        <v>11.408363132121213</v>
      </c>
      <c r="G444" s="631">
        <f>+'P,R, BU'!G92</f>
        <v>11.560474640549495</v>
      </c>
    </row>
    <row r="445" spans="2:7" s="401" customFormat="1" ht="12" customHeight="1">
      <c r="B445" s="586" t="s">
        <v>113</v>
      </c>
      <c r="C445" s="630">
        <f>+'P,R, BU'!C93</f>
        <v>187</v>
      </c>
      <c r="D445" s="630">
        <f>+'P,R, BU'!D93</f>
        <v>183.26</v>
      </c>
      <c r="E445" s="630">
        <f>+'P,R, BU'!E93</f>
        <v>179.5948</v>
      </c>
      <c r="F445" s="630">
        <f>+'P,R, BU'!F93</f>
        <v>176.002904</v>
      </c>
      <c r="G445" s="631">
        <f>+'P,R, BU'!G93</f>
        <v>172.48284592000002</v>
      </c>
    </row>
    <row r="446" spans="2:7" s="401" customFormat="1" ht="12" customHeight="1">
      <c r="B446" s="586" t="s">
        <v>114</v>
      </c>
      <c r="C446" s="630">
        <f>+'P,R, BU'!C94</f>
        <v>5.609999999999999</v>
      </c>
      <c r="D446" s="630">
        <f>+'P,R, BU'!D94</f>
        <v>5.4978</v>
      </c>
      <c r="E446" s="630">
        <f>+'P,R, BU'!E94</f>
        <v>5.387843999999999</v>
      </c>
      <c r="F446" s="630">
        <f>+'P,R, BU'!F94</f>
        <v>5.28008712</v>
      </c>
      <c r="G446" s="631">
        <f>+'P,R, BU'!G94</f>
        <v>5.1744853776</v>
      </c>
    </row>
    <row r="447" spans="2:7" s="401" customFormat="1" ht="12" customHeight="1">
      <c r="B447" s="586" t="s">
        <v>136</v>
      </c>
      <c r="C447" s="630">
        <f>+'P,R, BU'!C95</f>
        <v>0</v>
      </c>
      <c r="D447" s="630">
        <f>+'P,R, BU'!D95</f>
        <v>0</v>
      </c>
      <c r="E447" s="630">
        <f>+'P,R, BU'!E95</f>
        <v>0</v>
      </c>
      <c r="F447" s="630">
        <f>+'P,R, BU'!F95</f>
        <v>0</v>
      </c>
      <c r="G447" s="631">
        <f>+'P,R, BU'!G95</f>
        <v>0</v>
      </c>
    </row>
    <row r="448" spans="2:7" s="401" customFormat="1" ht="12" customHeight="1">
      <c r="B448" s="586" t="s">
        <v>116</v>
      </c>
      <c r="C448" s="630">
        <f>+'P,R, BU'!C96</f>
        <v>1.87</v>
      </c>
      <c r="D448" s="630">
        <f>+'P,R, BU'!D96</f>
        <v>1.8326</v>
      </c>
      <c r="E448" s="630">
        <f>+'P,R, BU'!E96</f>
        <v>1.7959479999999999</v>
      </c>
      <c r="F448" s="630">
        <f>+'P,R, BU'!F96</f>
        <v>1.76002904</v>
      </c>
      <c r="G448" s="631">
        <f>+'P,R, BU'!G96</f>
        <v>1.7248284592000003</v>
      </c>
    </row>
    <row r="449" spans="2:7" s="401" customFormat="1" ht="12" customHeight="1">
      <c r="B449" s="586" t="s">
        <v>117</v>
      </c>
      <c r="C449" s="630">
        <f>+'P,R, BU'!C97</f>
        <v>183.26</v>
      </c>
      <c r="D449" s="630">
        <f>+'P,R, BU'!D97</f>
        <v>179.5948</v>
      </c>
      <c r="E449" s="630">
        <f>+'P,R, BU'!E97</f>
        <v>176.002904</v>
      </c>
      <c r="F449" s="630">
        <f>+'P,R, BU'!F97</f>
        <v>172.48284592000002</v>
      </c>
      <c r="G449" s="631">
        <f>+'P,R, BU'!G97</f>
        <v>169.03318900160002</v>
      </c>
    </row>
    <row r="450" spans="2:7" ht="12" customHeight="1">
      <c r="B450" s="586"/>
      <c r="C450" s="630">
        <f>+'P,R, BU'!C98</f>
        <v>0</v>
      </c>
      <c r="D450" s="630">
        <f>+'P,R, BU'!D98</f>
        <v>0</v>
      </c>
      <c r="E450" s="630">
        <f>+'P,R, BU'!E98</f>
        <v>0</v>
      </c>
      <c r="F450" s="630">
        <f>+'P,R, BU'!F98</f>
        <v>0</v>
      </c>
      <c r="G450" s="631">
        <f>+'P,R, BU'!G98</f>
        <v>0</v>
      </c>
    </row>
    <row r="451" spans="2:7" ht="12" customHeight="1" thickBot="1">
      <c r="B451" s="590" t="s">
        <v>137</v>
      </c>
      <c r="C451" s="632">
        <f>+'P,R, BU'!C99</f>
        <v>24197.837399999997</v>
      </c>
      <c r="D451" s="632">
        <f>+'P,R, BU'!D99</f>
        <v>24188.158265039998</v>
      </c>
      <c r="E451" s="632">
        <f>+'P,R, BU'!E99</f>
        <v>24020.45370106906</v>
      </c>
      <c r="F451" s="632">
        <f>+'P,R, BU'!F99</f>
        <v>23853.911888741648</v>
      </c>
      <c r="G451" s="633">
        <f>+'P,R, BU'!G99</f>
        <v>23688.52476631304</v>
      </c>
    </row>
    <row r="452" s="568" customFormat="1" ht="12" customHeight="1" thickTop="1"/>
    <row r="454" ht="12" customHeight="1">
      <c r="B454" s="544" t="s">
        <v>1112</v>
      </c>
    </row>
    <row r="455" ht="12" customHeight="1">
      <c r="B455" s="540"/>
    </row>
    <row r="456" ht="12" customHeight="1">
      <c r="B456" s="538" t="s">
        <v>875</v>
      </c>
    </row>
    <row r="457" ht="12" customHeight="1">
      <c r="B457" s="539" t="s">
        <v>876</v>
      </c>
    </row>
    <row r="458" ht="12" customHeight="1">
      <c r="B458" s="539" t="s">
        <v>877</v>
      </c>
    </row>
    <row r="459" ht="12" customHeight="1">
      <c r="B459" s="538" t="s">
        <v>878</v>
      </c>
    </row>
    <row r="460" ht="12" customHeight="1">
      <c r="B460" s="538" t="s">
        <v>879</v>
      </c>
    </row>
    <row r="461" ht="12" customHeight="1">
      <c r="B461" s="540"/>
    </row>
    <row r="462" ht="12" customHeight="1">
      <c r="B462" s="540"/>
    </row>
    <row r="463" ht="12" customHeight="1">
      <c r="B463" s="540"/>
    </row>
    <row r="464" ht="12" customHeight="1">
      <c r="B464" s="540"/>
    </row>
    <row r="465" spans="2:7" ht="12" customHeight="1">
      <c r="B465" s="601" t="s">
        <v>835</v>
      </c>
      <c r="C465" s="401"/>
      <c r="D465" s="401"/>
      <c r="E465" s="401"/>
      <c r="F465" s="401"/>
      <c r="G465" s="401"/>
    </row>
    <row r="466" spans="2:7" ht="12" customHeight="1" thickBot="1">
      <c r="B466" s="634"/>
      <c r="C466" s="401"/>
      <c r="D466" s="401"/>
      <c r="E466" s="606" t="s">
        <v>1237</v>
      </c>
      <c r="F466" s="401"/>
      <c r="G466" s="401"/>
    </row>
    <row r="467" spans="2:7" ht="12" customHeight="1" thickTop="1">
      <c r="B467" s="1002" t="s">
        <v>1398</v>
      </c>
      <c r="C467" s="1000" t="s">
        <v>1399</v>
      </c>
      <c r="D467" s="1000"/>
      <c r="E467" s="1000"/>
      <c r="F467" s="1000"/>
      <c r="G467" s="1001"/>
    </row>
    <row r="468" spans="2:7" ht="12" customHeight="1">
      <c r="B468" s="1003"/>
      <c r="C468" s="635" t="s">
        <v>1400</v>
      </c>
      <c r="D468" s="635" t="s">
        <v>1401</v>
      </c>
      <c r="E468" s="635" t="s">
        <v>1402</v>
      </c>
      <c r="F468" s="635" t="s">
        <v>1403</v>
      </c>
      <c r="G468" s="636" t="s">
        <v>1404</v>
      </c>
    </row>
    <row r="469" spans="2:7" ht="12" customHeight="1">
      <c r="B469" s="586"/>
      <c r="C469" s="607"/>
      <c r="D469" s="607"/>
      <c r="E469" s="607"/>
      <c r="F469" s="607"/>
      <c r="G469" s="608"/>
    </row>
    <row r="470" spans="2:7" ht="12" customHeight="1">
      <c r="B470" s="586" t="s">
        <v>1417</v>
      </c>
      <c r="C470" s="637"/>
      <c r="D470" s="637"/>
      <c r="E470" s="637"/>
      <c r="F470" s="637"/>
      <c r="G470" s="639"/>
    </row>
    <row r="471" spans="2:7" ht="12" customHeight="1">
      <c r="B471" s="586" t="s">
        <v>1414</v>
      </c>
      <c r="C471" s="630">
        <f>+'P,R, BU'!C121</f>
        <v>10729.544324289443</v>
      </c>
      <c r="D471" s="630">
        <f>+'P,R, BU'!D121</f>
        <v>10810.69785021052</v>
      </c>
      <c r="E471" s="630">
        <f>+'P,R, BU'!E121</f>
        <v>10892.465185494822</v>
      </c>
      <c r="F471" s="630">
        <f>+'P,R, BU'!F121</f>
        <v>10974.850972724795</v>
      </c>
      <c r="G471" s="631">
        <f>+'P,R, BU'!G121</f>
        <v>11057.859889597315</v>
      </c>
    </row>
    <row r="472" spans="2:7" ht="12" customHeight="1">
      <c r="B472" s="586" t="s">
        <v>142</v>
      </c>
      <c r="C472" s="630">
        <f>+'P,R, BU'!C122</f>
        <v>10649</v>
      </c>
      <c r="D472" s="630">
        <f>+'P,R, BU'!D122</f>
        <v>10649</v>
      </c>
      <c r="E472" s="630">
        <f>+'P,R, BU'!E122</f>
        <v>10649</v>
      </c>
      <c r="F472" s="630">
        <f>+'P,R, BU'!F122</f>
        <v>10649</v>
      </c>
      <c r="G472" s="631">
        <f>+'P,R, BU'!G122</f>
        <v>10649</v>
      </c>
    </row>
    <row r="473" spans="2:7" ht="12" customHeight="1">
      <c r="B473" s="586" t="s">
        <v>143</v>
      </c>
      <c r="C473" s="630">
        <f>+'P,R, BU'!C123</f>
        <v>80.54432428944332</v>
      </c>
      <c r="D473" s="630">
        <f>+'P,R, BU'!D123</f>
        <v>81.15352592107475</v>
      </c>
      <c r="E473" s="630">
        <f>+'P,R, BU'!E123</f>
        <v>81.7673352843031</v>
      </c>
      <c r="F473" s="630">
        <f>+'P,R, BU'!F123</f>
        <v>82.38578722997148</v>
      </c>
      <c r="G473" s="631">
        <f>+'P,R, BU'!G123</f>
        <v>83.00891687251934</v>
      </c>
    </row>
    <row r="474" spans="2:7" ht="12" customHeight="1">
      <c r="B474" s="586" t="s">
        <v>1416</v>
      </c>
      <c r="C474" s="630">
        <f>+'P,R, BU'!C124</f>
        <v>80.54432428944332</v>
      </c>
      <c r="D474" s="630">
        <f>+'P,R, BU'!D124</f>
        <v>161.69785021051808</v>
      </c>
      <c r="E474" s="630">
        <f>+'P,R, BU'!E124</f>
        <v>243.46518549482118</v>
      </c>
      <c r="F474" s="630">
        <f>+'P,R, BU'!F124</f>
        <v>325.85097272479265</v>
      </c>
      <c r="G474" s="631">
        <f>+'P,R, BU'!G124</f>
        <v>408.85988959731196</v>
      </c>
    </row>
    <row r="475" spans="2:7" ht="12" customHeight="1">
      <c r="B475" s="586" t="s">
        <v>1415</v>
      </c>
      <c r="C475" s="630">
        <f>+'P,R, BU'!C125</f>
        <v>80.54432428944332</v>
      </c>
      <c r="D475" s="630">
        <f>+'P,R, BU'!D125</f>
        <v>81.15352592107475</v>
      </c>
      <c r="E475" s="630">
        <f>+'P,R, BU'!E125</f>
        <v>81.7673352843031</v>
      </c>
      <c r="F475" s="630">
        <f>+'P,R, BU'!F125</f>
        <v>82.38578722997148</v>
      </c>
      <c r="G475" s="631">
        <f>+'P,R, BU'!G125</f>
        <v>83.00891687251934</v>
      </c>
    </row>
    <row r="476" spans="2:7" ht="12" customHeight="1">
      <c r="B476" s="586"/>
      <c r="C476" s="630">
        <f>+'P,R, BU'!C126</f>
        <v>0</v>
      </c>
      <c r="D476" s="630">
        <f>+'P,R, BU'!D126</f>
        <v>0</v>
      </c>
      <c r="E476" s="630">
        <f>+'P,R, BU'!E126</f>
        <v>0</v>
      </c>
      <c r="F476" s="630">
        <f>+'P,R, BU'!F126</f>
        <v>0</v>
      </c>
      <c r="G476" s="631">
        <f>+'P,R, BU'!G126</f>
        <v>0</v>
      </c>
    </row>
    <row r="477" spans="2:7" ht="12" customHeight="1">
      <c r="B477" s="586" t="s">
        <v>1418</v>
      </c>
      <c r="C477" s="630">
        <f>+'P,R, BU'!C127</f>
        <v>0</v>
      </c>
      <c r="D477" s="630">
        <f>+'P,R, BU'!D127</f>
        <v>0</v>
      </c>
      <c r="E477" s="630">
        <f>+'P,R, BU'!E127</f>
        <v>0</v>
      </c>
      <c r="F477" s="630">
        <f>+'P,R, BU'!F127</f>
        <v>0</v>
      </c>
      <c r="G477" s="631">
        <f>+'P,R, BU'!G127</f>
        <v>0</v>
      </c>
    </row>
    <row r="478" spans="2:7" ht="12" customHeight="1">
      <c r="B478" s="586" t="s">
        <v>1414</v>
      </c>
      <c r="C478" s="630">
        <f>+'P,R, BU'!C128</f>
        <v>134648.41319403323</v>
      </c>
      <c r="D478" s="630">
        <f>+'P,R, BU'!D128</f>
        <v>144048.2049838005</v>
      </c>
      <c r="E478" s="630">
        <f>+'P,R, BU'!E128</f>
        <v>154104.19526558902</v>
      </c>
      <c r="F478" s="630">
        <f>+'P,R, BU'!F128</f>
        <v>164862.19318821415</v>
      </c>
      <c r="G478" s="631">
        <f>+'P,R, BU'!G128</f>
        <v>176371.20583242908</v>
      </c>
    </row>
    <row r="479" spans="2:7" ht="12" customHeight="1">
      <c r="B479" s="586" t="s">
        <v>144</v>
      </c>
      <c r="C479" s="630">
        <f>+'P,R, BU'!C129</f>
        <v>125862</v>
      </c>
      <c r="D479" s="630">
        <f>+'P,R, BU'!D129</f>
        <v>125862</v>
      </c>
      <c r="E479" s="630">
        <f>+'P,R, BU'!E129</f>
        <v>125862</v>
      </c>
      <c r="F479" s="630">
        <f>+'P,R, BU'!F129</f>
        <v>125862</v>
      </c>
      <c r="G479" s="631">
        <f>+'P,R, BU'!G129</f>
        <v>125862</v>
      </c>
    </row>
    <row r="480" spans="2:7" ht="12" customHeight="1">
      <c r="B480" s="586" t="s">
        <v>143</v>
      </c>
      <c r="C480" s="630">
        <f>+'P,R, BU'!C130</f>
        <v>8786.413194033219</v>
      </c>
      <c r="D480" s="630">
        <f>+'P,R, BU'!D130</f>
        <v>9399.791789767285</v>
      </c>
      <c r="E480" s="630">
        <f>+'P,R, BU'!E130</f>
        <v>10055.990281788518</v>
      </c>
      <c r="F480" s="630">
        <f>+'P,R, BU'!F130</f>
        <v>10757.997922625122</v>
      </c>
      <c r="G480" s="631">
        <f>+'P,R, BU'!G130</f>
        <v>11509.012644214921</v>
      </c>
    </row>
    <row r="481" spans="2:7" ht="12" customHeight="1">
      <c r="B481" s="586" t="s">
        <v>1416</v>
      </c>
      <c r="C481" s="630">
        <f>+'P,R, BU'!C131</f>
        <v>8786.413194033219</v>
      </c>
      <c r="D481" s="630">
        <f>+'P,R, BU'!D131</f>
        <v>18186.204983800504</v>
      </c>
      <c r="E481" s="630">
        <f>+'P,R, BU'!E131</f>
        <v>28242.19526558902</v>
      </c>
      <c r="F481" s="630">
        <f>+'P,R, BU'!F131</f>
        <v>39000.19318821414</v>
      </c>
      <c r="G481" s="631">
        <f>+'P,R, BU'!G131</f>
        <v>50509.20583242906</v>
      </c>
    </row>
    <row r="482" spans="2:7" ht="12" customHeight="1">
      <c r="B482" s="586" t="s">
        <v>1415</v>
      </c>
      <c r="C482" s="630">
        <f>+'P,R, BU'!C132</f>
        <v>8786.413194033219</v>
      </c>
      <c r="D482" s="630">
        <f>+'P,R, BU'!D132</f>
        <v>9399.791789767285</v>
      </c>
      <c r="E482" s="630">
        <f>+'P,R, BU'!E132</f>
        <v>10055.990281788518</v>
      </c>
      <c r="F482" s="630">
        <f>+'P,R, BU'!F132</f>
        <v>10757.997922625122</v>
      </c>
      <c r="G482" s="631">
        <f>+'P,R, BU'!G132</f>
        <v>11509.012644214921</v>
      </c>
    </row>
    <row r="483" spans="2:7" ht="12" customHeight="1">
      <c r="B483" s="586"/>
      <c r="C483" s="630">
        <f>+'P,R, BU'!C133</f>
        <v>0</v>
      </c>
      <c r="D483" s="630">
        <f>+'P,R, BU'!D133</f>
        <v>0</v>
      </c>
      <c r="E483" s="630">
        <f>+'P,R, BU'!E133</f>
        <v>0</v>
      </c>
      <c r="F483" s="630">
        <f>+'P,R, BU'!F133</f>
        <v>0</v>
      </c>
      <c r="G483" s="631">
        <f>+'P,R, BU'!G133</f>
        <v>0</v>
      </c>
    </row>
    <row r="484" spans="2:7" ht="12" customHeight="1">
      <c r="B484" s="586" t="s">
        <v>1419</v>
      </c>
      <c r="C484" s="630">
        <f>+'P,R, BU'!C134</f>
        <v>0</v>
      </c>
      <c r="D484" s="630">
        <f>+'P,R, BU'!D134</f>
        <v>0</v>
      </c>
      <c r="E484" s="630">
        <f>+'P,R, BU'!E134</f>
        <v>0</v>
      </c>
      <c r="F484" s="630">
        <f>+'P,R, BU'!F134</f>
        <v>0</v>
      </c>
      <c r="G484" s="631">
        <f>+'P,R, BU'!G134</f>
        <v>0</v>
      </c>
    </row>
    <row r="485" spans="2:7" ht="12" customHeight="1">
      <c r="B485" s="586" t="s">
        <v>1414</v>
      </c>
      <c r="C485" s="630">
        <f>+'P,R, BU'!C135</f>
        <v>0</v>
      </c>
      <c r="D485" s="630">
        <f>+'P,R, BU'!D135</f>
        <v>0</v>
      </c>
      <c r="E485" s="630">
        <f>+'P,R, BU'!E135</f>
        <v>0</v>
      </c>
      <c r="F485" s="630">
        <f>+'P,R, BU'!F135</f>
        <v>0</v>
      </c>
      <c r="G485" s="631">
        <f>+'P,R, BU'!G135</f>
        <v>0</v>
      </c>
    </row>
    <row r="486" spans="2:7" ht="12" customHeight="1">
      <c r="B486" s="586" t="s">
        <v>1415</v>
      </c>
      <c r="C486" s="630">
        <f>+'P,R, BU'!C136</f>
        <v>0</v>
      </c>
      <c r="D486" s="630">
        <f>+'P,R, BU'!D136</f>
        <v>0</v>
      </c>
      <c r="E486" s="630">
        <f>+'P,R, BU'!E136</f>
        <v>0</v>
      </c>
      <c r="F486" s="630">
        <f>+'P,R, BU'!F136</f>
        <v>0</v>
      </c>
      <c r="G486" s="631">
        <f>+'P,R, BU'!G136</f>
        <v>0</v>
      </c>
    </row>
    <row r="487" spans="2:7" ht="12" customHeight="1">
      <c r="B487" s="586"/>
      <c r="C487" s="630">
        <f>+'P,R, BU'!C137</f>
        <v>0</v>
      </c>
      <c r="D487" s="630">
        <f>+'P,R, BU'!D137</f>
        <v>0</v>
      </c>
      <c r="E487" s="630">
        <f>+'P,R, BU'!E137</f>
        <v>0</v>
      </c>
      <c r="F487" s="630">
        <f>+'P,R, BU'!F137</f>
        <v>0</v>
      </c>
      <c r="G487" s="631">
        <f>+'P,R, BU'!G137</f>
        <v>0</v>
      </c>
    </row>
    <row r="488" spans="2:7" ht="12" customHeight="1" thickBot="1">
      <c r="B488" s="594" t="s">
        <v>1420</v>
      </c>
      <c r="C488" s="632">
        <f>+'P,R, BU'!C138</f>
        <v>8866.957518322663</v>
      </c>
      <c r="D488" s="632">
        <f>+'P,R, BU'!D138</f>
        <v>9480.94531568836</v>
      </c>
      <c r="E488" s="632">
        <f>+'P,R, BU'!E138</f>
        <v>10137.75761707282</v>
      </c>
      <c r="F488" s="632">
        <f>+'P,R, BU'!F138</f>
        <v>10840.383709855094</v>
      </c>
      <c r="G488" s="633">
        <f>+'P,R, BU'!G138</f>
        <v>11592.02156108744</v>
      </c>
    </row>
    <row r="489" ht="12" customHeight="1" thickTop="1">
      <c r="B489" s="601"/>
    </row>
    <row r="490" ht="12" customHeight="1">
      <c r="B490" s="601"/>
    </row>
    <row r="491" ht="12" customHeight="1">
      <c r="B491" s="544" t="s">
        <v>145</v>
      </c>
    </row>
    <row r="492" ht="12" customHeight="1">
      <c r="B492" s="540"/>
    </row>
    <row r="493" ht="12" customHeight="1">
      <c r="B493" s="538" t="s">
        <v>880</v>
      </c>
    </row>
    <row r="494" ht="12" customHeight="1">
      <c r="B494" s="539" t="s">
        <v>881</v>
      </c>
    </row>
    <row r="495" ht="12" customHeight="1">
      <c r="B495" s="551" t="s">
        <v>882</v>
      </c>
    </row>
    <row r="496" ht="12" customHeight="1">
      <c r="B496" s="551" t="s">
        <v>1241</v>
      </c>
    </row>
    <row r="499" ht="12" customHeight="1">
      <c r="B499" s="601" t="s">
        <v>836</v>
      </c>
    </row>
    <row r="500" spans="2:5" ht="12" customHeight="1">
      <c r="B500" s="640"/>
      <c r="C500" s="613"/>
      <c r="E500" s="606" t="s">
        <v>1237</v>
      </c>
    </row>
    <row r="501" spans="2:7" ht="12" customHeight="1">
      <c r="B501" s="641"/>
      <c r="C501" s="1004" t="s">
        <v>1399</v>
      </c>
      <c r="D501" s="1004"/>
      <c r="E501" s="1004"/>
      <c r="F501" s="1004"/>
      <c r="G501" s="1004"/>
    </row>
    <row r="502" spans="2:7" ht="12" customHeight="1">
      <c r="B502" s="641"/>
      <c r="C502" s="642" t="s">
        <v>1400</v>
      </c>
      <c r="D502" s="642" t="s">
        <v>1401</v>
      </c>
      <c r="E502" s="642" t="s">
        <v>1402</v>
      </c>
      <c r="F502" s="642" t="s">
        <v>1403</v>
      </c>
      <c r="G502" s="642" t="s">
        <v>1404</v>
      </c>
    </row>
    <row r="503" spans="2:7" ht="14.25" customHeight="1">
      <c r="B503" s="643" t="s">
        <v>121</v>
      </c>
      <c r="C503" s="644">
        <f>+C505+C508+C511</f>
        <v>36689.19335794726</v>
      </c>
      <c r="D503" s="644">
        <f>+D505+D508+D511</f>
        <v>36945.00722524302</v>
      </c>
      <c r="E503" s="644">
        <f>+E505+E508+E511</f>
        <v>37129.632354867324</v>
      </c>
      <c r="F503" s="644">
        <f>+F505+F508+F511</f>
        <v>37305.90516369192</v>
      </c>
      <c r="G503" s="644">
        <f>+G505+G508+G511</f>
        <v>37491.78503254115</v>
      </c>
    </row>
    <row r="504" spans="2:7" ht="12" customHeight="1">
      <c r="B504" s="641"/>
      <c r="C504" s="645"/>
      <c r="D504" s="645"/>
      <c r="E504" s="645"/>
      <c r="F504" s="645"/>
      <c r="G504" s="645"/>
    </row>
    <row r="505" spans="2:7" ht="12" customHeight="1">
      <c r="B505" s="641" t="s">
        <v>66</v>
      </c>
      <c r="C505" s="645">
        <f>C506+C507</f>
        <v>21158.548228744527</v>
      </c>
      <c r="D505" s="645">
        <f>D506+D507</f>
        <v>21372.44369331942</v>
      </c>
      <c r="E505" s="645">
        <f>E506+E507</f>
        <v>21517.892609230345</v>
      </c>
      <c r="F505" s="645">
        <f>F506+F507</f>
        <v>21665.280844020082</v>
      </c>
      <c r="G505" s="645">
        <f>G506+G507</f>
        <v>21814.63425527369</v>
      </c>
    </row>
    <row r="506" spans="2:7" ht="12" customHeight="1">
      <c r="B506" s="641" t="s">
        <v>167</v>
      </c>
      <c r="C506" s="646">
        <f>+'Radna '!C74</f>
        <v>10463.775</v>
      </c>
      <c r="D506" s="646">
        <f>+C506</f>
        <v>10463.775</v>
      </c>
      <c r="E506" s="646">
        <f>+D506</f>
        <v>10463.775</v>
      </c>
      <c r="F506" s="646">
        <f>+E506</f>
        <v>10463.775</v>
      </c>
      <c r="G506" s="646">
        <f>+F506</f>
        <v>10463.775</v>
      </c>
    </row>
    <row r="507" spans="2:7" ht="12" customHeight="1">
      <c r="B507" s="641" t="s">
        <v>168</v>
      </c>
      <c r="C507" s="646">
        <f>+'Radna '!C75</f>
        <v>10694.773228744529</v>
      </c>
      <c r="D507" s="646">
        <f>+'Radna '!D75</f>
        <v>10908.66869331942</v>
      </c>
      <c r="E507" s="646">
        <f>+'Radna '!E75</f>
        <v>11054.117609230347</v>
      </c>
      <c r="F507" s="646">
        <f>+'Radna '!F75</f>
        <v>11201.505844020085</v>
      </c>
      <c r="G507" s="646">
        <f>+'Radna '!G75</f>
        <v>11350.859255273688</v>
      </c>
    </row>
    <row r="508" spans="2:7" ht="12" customHeight="1">
      <c r="B508" s="641" t="s">
        <v>68</v>
      </c>
      <c r="C508" s="645">
        <f>C509+C510</f>
        <v>10298.520136043157</v>
      </c>
      <c r="D508" s="645">
        <f>D509+D510</f>
        <v>10340.43853876402</v>
      </c>
      <c r="E508" s="645">
        <f>E509+E510</f>
        <v>10368.943052614206</v>
      </c>
      <c r="F508" s="645">
        <f>F509+F510</f>
        <v>10397.827626649063</v>
      </c>
      <c r="G508" s="645">
        <f>G509+G510</f>
        <v>10427.097328337717</v>
      </c>
    </row>
    <row r="509" spans="2:7" ht="12" customHeight="1">
      <c r="B509" s="641" t="s">
        <v>167</v>
      </c>
      <c r="C509" s="646">
        <f>+'Radna '!C77</f>
        <v>8202.6</v>
      </c>
      <c r="D509" s="646">
        <f>+C509</f>
        <v>8202.6</v>
      </c>
      <c r="E509" s="646">
        <f>+D509</f>
        <v>8202.6</v>
      </c>
      <c r="F509" s="646">
        <f>+E509</f>
        <v>8202.6</v>
      </c>
      <c r="G509" s="646">
        <f>+F509</f>
        <v>8202.6</v>
      </c>
    </row>
    <row r="510" spans="2:7" ht="12" customHeight="1">
      <c r="B510" s="641" t="s">
        <v>168</v>
      </c>
      <c r="C510" s="646">
        <f>+'Radna '!C78</f>
        <v>2095.9201360431557</v>
      </c>
      <c r="D510" s="646">
        <f>+'Radna '!D78</f>
        <v>2137.8385387640187</v>
      </c>
      <c r="E510" s="646">
        <f>+'Radna '!E78</f>
        <v>2166.3430526142056</v>
      </c>
      <c r="F510" s="646">
        <f>+'Radna '!F78</f>
        <v>2195.227626649062</v>
      </c>
      <c r="G510" s="646">
        <f>+'Radna '!G78</f>
        <v>2224.497328337716</v>
      </c>
    </row>
    <row r="511" spans="2:7" ht="12" customHeight="1">
      <c r="B511" s="641" t="s">
        <v>69</v>
      </c>
      <c r="C511" s="645">
        <f>C512+C513</f>
        <v>5232.124993159579</v>
      </c>
      <c r="D511" s="645">
        <f>C513+D512</f>
        <v>5232.124993159579</v>
      </c>
      <c r="E511" s="645">
        <f>D512+D513</f>
        <v>5242.796693022771</v>
      </c>
      <c r="F511" s="645">
        <f>D513+E512</f>
        <v>5242.796693022771</v>
      </c>
      <c r="G511" s="645">
        <f>E512+E513</f>
        <v>5250.0534489297415</v>
      </c>
    </row>
    <row r="512" spans="2:7" ht="12" customHeight="1">
      <c r="B512" s="641" t="s">
        <v>167</v>
      </c>
      <c r="C512" s="646">
        <f>+'Radna '!C80</f>
        <v>4698.540000000001</v>
      </c>
      <c r="D512" s="646">
        <f>+C512</f>
        <v>4698.540000000001</v>
      </c>
      <c r="E512" s="646">
        <f>+D512</f>
        <v>4698.540000000001</v>
      </c>
      <c r="F512" s="646">
        <f>+E512</f>
        <v>4698.540000000001</v>
      </c>
      <c r="G512" s="646">
        <f>+F512</f>
        <v>4698.540000000001</v>
      </c>
    </row>
    <row r="513" spans="2:7" ht="12" customHeight="1">
      <c r="B513" s="641" t="s">
        <v>168</v>
      </c>
      <c r="C513" s="646">
        <f>+'Radna '!C81</f>
        <v>533.5849931595786</v>
      </c>
      <c r="D513" s="646">
        <f>+'Radna '!D81</f>
        <v>544.2566930227702</v>
      </c>
      <c r="E513" s="646">
        <f>+'Radna '!E81</f>
        <v>551.5134489297405</v>
      </c>
      <c r="F513" s="646">
        <f>+'Radna '!F81</f>
        <v>558.866961582137</v>
      </c>
      <c r="G513" s="646">
        <f>+'Radna '!G81</f>
        <v>566.3185210698989</v>
      </c>
    </row>
    <row r="514" ht="12" customHeight="1">
      <c r="B514" s="601"/>
    </row>
    <row r="515" ht="12" customHeight="1">
      <c r="B515" s="544" t="s">
        <v>1242</v>
      </c>
    </row>
    <row r="516" ht="12" customHeight="1">
      <c r="B516" s="540"/>
    </row>
    <row r="517" ht="12" customHeight="1">
      <c r="B517" s="538" t="s">
        <v>883</v>
      </c>
    </row>
    <row r="518" ht="12" customHeight="1">
      <c r="B518" s="538" t="s">
        <v>884</v>
      </c>
    </row>
    <row r="519" ht="12" customHeight="1">
      <c r="B519" s="551" t="s">
        <v>885</v>
      </c>
    </row>
    <row r="522" ht="12" customHeight="1">
      <c r="B522" s="578" t="s">
        <v>841</v>
      </c>
    </row>
    <row r="523" spans="2:5" ht="12" customHeight="1" thickBot="1">
      <c r="B523" s="578"/>
      <c r="C523" s="613"/>
      <c r="E523" s="606" t="s">
        <v>1237</v>
      </c>
    </row>
    <row r="524" spans="2:7" ht="12" customHeight="1" thickTop="1">
      <c r="B524" s="1002" t="s">
        <v>1398</v>
      </c>
      <c r="C524" s="1000" t="s">
        <v>1399</v>
      </c>
      <c r="D524" s="1000"/>
      <c r="E524" s="1000"/>
      <c r="F524" s="1000"/>
      <c r="G524" s="1001"/>
    </row>
    <row r="525" spans="2:7" ht="12" customHeight="1">
      <c r="B525" s="1003"/>
      <c r="C525" s="635" t="s">
        <v>1400</v>
      </c>
      <c r="D525" s="635" t="s">
        <v>1401</v>
      </c>
      <c r="E525" s="635" t="s">
        <v>1402</v>
      </c>
      <c r="F525" s="635" t="s">
        <v>1403</v>
      </c>
      <c r="G525" s="636" t="s">
        <v>1404</v>
      </c>
    </row>
    <row r="526" spans="2:7" ht="12" customHeight="1">
      <c r="B526" s="586"/>
      <c r="C526" s="635"/>
      <c r="D526" s="635"/>
      <c r="E526" s="635"/>
      <c r="F526" s="635"/>
      <c r="G526" s="636"/>
    </row>
    <row r="527" spans="2:7" ht="12" customHeight="1">
      <c r="B527" s="586" t="s">
        <v>1423</v>
      </c>
      <c r="C527" s="607">
        <f>+'P,R, BU'!C154</f>
        <v>71.93</v>
      </c>
      <c r="D527" s="607">
        <f>+C527</f>
        <v>71.93</v>
      </c>
      <c r="E527" s="607">
        <f>+D527</f>
        <v>71.93</v>
      </c>
      <c r="F527" s="607">
        <f>+E527</f>
        <v>71.93</v>
      </c>
      <c r="G527" s="608">
        <f>+F527</f>
        <v>71.93</v>
      </c>
    </row>
    <row r="528" spans="2:7" ht="12" customHeight="1">
      <c r="B528" s="586" t="s">
        <v>146</v>
      </c>
      <c r="C528" s="607">
        <f>+'P,R, BU'!C155</f>
        <v>0</v>
      </c>
      <c r="D528" s="607">
        <f>+'P,R, BU'!D155</f>
        <v>0</v>
      </c>
      <c r="E528" s="607">
        <f>+'P,R, BU'!E155</f>
        <v>0</v>
      </c>
      <c r="F528" s="607">
        <f>+'P,R, BU'!F155</f>
        <v>0</v>
      </c>
      <c r="G528" s="608">
        <f>+'P,R, BU'!G155</f>
        <v>0</v>
      </c>
    </row>
    <row r="529" spans="2:7" ht="12" customHeight="1">
      <c r="B529" s="586" t="s">
        <v>147</v>
      </c>
      <c r="C529" s="607">
        <f>+'P,R, BU'!C156</f>
        <v>0</v>
      </c>
      <c r="D529" s="607">
        <f>+'P,R, BU'!D156</f>
        <v>0</v>
      </c>
      <c r="E529" s="607">
        <f>+'P,R, BU'!E156</f>
        <v>0</v>
      </c>
      <c r="F529" s="607">
        <f>+'P,R, BU'!F156</f>
        <v>0</v>
      </c>
      <c r="G529" s="608">
        <f>+'P,R, BU'!G156</f>
        <v>0</v>
      </c>
    </row>
    <row r="530" spans="2:7" ht="12" customHeight="1">
      <c r="B530" s="586" t="s">
        <v>1424</v>
      </c>
      <c r="C530" s="607">
        <f>+'P,R, BU'!C157</f>
        <v>0</v>
      </c>
      <c r="D530" s="607">
        <f>+'P,R, BU'!D157</f>
        <v>0</v>
      </c>
      <c r="E530" s="607">
        <f>+'P,R, BU'!E157</f>
        <v>0</v>
      </c>
      <c r="F530" s="607">
        <f>+'P,R, BU'!F157</f>
        <v>0</v>
      </c>
      <c r="G530" s="608">
        <f>+'P,R, BU'!G157</f>
        <v>0</v>
      </c>
    </row>
    <row r="531" spans="2:7" ht="12" customHeight="1">
      <c r="B531" s="586"/>
      <c r="C531" s="607">
        <f>+'P,R, BU'!C158</f>
        <v>0</v>
      </c>
      <c r="D531" s="607">
        <f>+'P,R, BU'!D158</f>
        <v>0</v>
      </c>
      <c r="E531" s="607">
        <f>+'P,R, BU'!E158</f>
        <v>0</v>
      </c>
      <c r="F531" s="607">
        <f>+'P,R, BU'!F158</f>
        <v>0</v>
      </c>
      <c r="G531" s="608">
        <f>+'P,R, BU'!G158</f>
        <v>0</v>
      </c>
    </row>
    <row r="532" spans="2:7" ht="12" customHeight="1" thickBot="1">
      <c r="B532" s="594" t="s">
        <v>1425</v>
      </c>
      <c r="C532" s="611">
        <f>+'P,R, BU'!C159</f>
        <v>-71.93</v>
      </c>
      <c r="D532" s="611">
        <f>+'P,R, BU'!D159</f>
        <v>-71.93</v>
      </c>
      <c r="E532" s="611">
        <f>+'P,R, BU'!E159</f>
        <v>-71.93</v>
      </c>
      <c r="F532" s="611">
        <f>+'P,R, BU'!F159</f>
        <v>-71.93</v>
      </c>
      <c r="G532" s="612">
        <f>+'P,R, BU'!G159</f>
        <v>-71.93</v>
      </c>
    </row>
    <row r="533" ht="12" customHeight="1" thickTop="1">
      <c r="B533" s="601"/>
    </row>
    <row r="534" ht="12" customHeight="1">
      <c r="B534" s="540"/>
    </row>
    <row r="535" ht="12" customHeight="1">
      <c r="B535" s="544" t="s">
        <v>1243</v>
      </c>
    </row>
    <row r="536" ht="12" customHeight="1">
      <c r="B536" s="540"/>
    </row>
    <row r="537" ht="12" customHeight="1">
      <c r="B537" s="538" t="s">
        <v>1245</v>
      </c>
    </row>
    <row r="538" ht="12" customHeight="1">
      <c r="B538" s="538" t="s">
        <v>886</v>
      </c>
    </row>
    <row r="540" ht="12" customHeight="1">
      <c r="B540" s="538" t="s">
        <v>887</v>
      </c>
    </row>
    <row r="541" ht="12" customHeight="1">
      <c r="B541" s="538" t="s">
        <v>1244</v>
      </c>
    </row>
    <row r="542" ht="12" customHeight="1">
      <c r="B542" s="540"/>
    </row>
    <row r="543" ht="12" customHeight="1">
      <c r="B543" s="540"/>
    </row>
    <row r="545" ht="12" customHeight="1">
      <c r="B545" s="578" t="s">
        <v>843</v>
      </c>
    </row>
    <row r="546" spans="2:5" ht="12" customHeight="1" thickBot="1">
      <c r="B546" s="634"/>
      <c r="E546" s="606" t="s">
        <v>1237</v>
      </c>
    </row>
    <row r="547" spans="2:8" ht="12" customHeight="1" thickTop="1">
      <c r="B547" s="647" t="s">
        <v>1427</v>
      </c>
      <c r="C547" s="570" t="s">
        <v>1428</v>
      </c>
      <c r="D547" s="1000" t="s">
        <v>1399</v>
      </c>
      <c r="E547" s="1000"/>
      <c r="F547" s="1000"/>
      <c r="G547" s="1000"/>
      <c r="H547" s="1001"/>
    </row>
    <row r="548" spans="2:8" ht="12" customHeight="1">
      <c r="B548" s="586"/>
      <c r="C548" s="635" t="s">
        <v>1429</v>
      </c>
      <c r="D548" s="635" t="s">
        <v>1400</v>
      </c>
      <c r="E548" s="635" t="s">
        <v>1401</v>
      </c>
      <c r="F548" s="635" t="s">
        <v>1402</v>
      </c>
      <c r="G548" s="635" t="s">
        <v>1403</v>
      </c>
      <c r="H548" s="636" t="s">
        <v>1404</v>
      </c>
    </row>
    <row r="549" spans="2:8" ht="12" customHeight="1">
      <c r="B549" s="586"/>
      <c r="C549" s="621"/>
      <c r="D549" s="635"/>
      <c r="E549" s="635"/>
      <c r="F549" s="635"/>
      <c r="G549" s="635"/>
      <c r="H549" s="636"/>
    </row>
    <row r="550" spans="2:8" ht="12" customHeight="1">
      <c r="B550" s="586" t="s">
        <v>1356</v>
      </c>
      <c r="C550" s="616">
        <f>+'P,R, BU'!C167</f>
        <v>105578.55000000002</v>
      </c>
      <c r="D550" s="616">
        <f>+'P,R, BU'!D167</f>
        <v>107909.30138211742</v>
      </c>
      <c r="E550" s="616">
        <f>+'P,R, BU'!E167</f>
        <v>110067.48740975978</v>
      </c>
      <c r="F550" s="616">
        <f>+'P,R, BU'!F167</f>
        <v>111535.05390855658</v>
      </c>
      <c r="G550" s="616">
        <f>+'P,R, BU'!G167</f>
        <v>113022.18796067068</v>
      </c>
      <c r="H550" s="648">
        <f>+'P,R, BU'!H167</f>
        <v>114529.15046681296</v>
      </c>
    </row>
    <row r="551" spans="2:8" ht="12" customHeight="1">
      <c r="B551" s="649" t="s">
        <v>127</v>
      </c>
      <c r="C551" s="616">
        <f>+'P,R, BU'!C168</f>
        <v>105040.95000000001</v>
      </c>
      <c r="D551" s="616">
        <f>+'P,R, BU'!D168</f>
        <v>107141.76900000001</v>
      </c>
      <c r="E551" s="616">
        <f>+'P,R, BU'!E168</f>
        <v>109284.60438000002</v>
      </c>
      <c r="F551" s="616">
        <f>+'P,R, BU'!F168</f>
        <v>110741.73243840002</v>
      </c>
      <c r="G551" s="616">
        <f>+'P,R, BU'!G168</f>
        <v>112218.28887091203</v>
      </c>
      <c r="H551" s="648">
        <f>+'P,R, BU'!H168</f>
        <v>113714.5327225242</v>
      </c>
    </row>
    <row r="552" spans="2:8" ht="12" customHeight="1">
      <c r="B552" s="649" t="s">
        <v>128</v>
      </c>
      <c r="C552" s="616">
        <f>+'P,R, BU'!C169</f>
        <v>0</v>
      </c>
      <c r="D552" s="616">
        <f>+'P,R, BU'!D169</f>
        <v>0</v>
      </c>
      <c r="E552" s="616">
        <f>+'P,R, BU'!E169</f>
        <v>0</v>
      </c>
      <c r="F552" s="616">
        <f>+'P,R, BU'!F169</f>
        <v>0</v>
      </c>
      <c r="G552" s="616">
        <f>+'P,R, BU'!G169</f>
        <v>0</v>
      </c>
      <c r="H552" s="648">
        <f>+'P,R, BU'!H169</f>
        <v>0</v>
      </c>
    </row>
    <row r="553" spans="2:8" ht="12" customHeight="1">
      <c r="B553" s="649" t="s">
        <v>1430</v>
      </c>
      <c r="C553" s="616">
        <f>+'P,R, BU'!C170</f>
        <v>537.6</v>
      </c>
      <c r="D553" s="616">
        <f>+'P,R, BU'!D170</f>
        <v>767.5323821174097</v>
      </c>
      <c r="E553" s="616">
        <f>+'P,R, BU'!E170</f>
        <v>782.8830297597597</v>
      </c>
      <c r="F553" s="616">
        <f>+'P,R, BU'!F170</f>
        <v>793.3214701565594</v>
      </c>
      <c r="G553" s="616">
        <f>+'P,R, BU'!G170</f>
        <v>803.8990897586482</v>
      </c>
      <c r="H553" s="648">
        <f>+'P,R, BU'!H170</f>
        <v>814.6177442887565</v>
      </c>
    </row>
    <row r="554" spans="2:8" ht="12" customHeight="1">
      <c r="B554" s="586" t="s">
        <v>1359</v>
      </c>
      <c r="C554" s="616">
        <f>+'P,R, BU'!C171</f>
        <v>101842.55</v>
      </c>
      <c r="D554" s="616">
        <f>+'P,R, BU'!D171</f>
        <v>101747.86632849004</v>
      </c>
      <c r="E554" s="616">
        <f>+'P,R, BU'!E171</f>
        <v>103379.91374503414</v>
      </c>
      <c r="F554" s="616">
        <f>+'P,R, BU'!F171</f>
        <v>104579.90980516905</v>
      </c>
      <c r="G554" s="616">
        <f>+'P,R, BU'!G171</f>
        <v>105826.9587064599</v>
      </c>
      <c r="H554" s="648">
        <f>+'P,R, BU'!H171</f>
        <v>107142.34283524958</v>
      </c>
    </row>
    <row r="555" spans="2:8" ht="12" customHeight="1">
      <c r="B555" s="649" t="s">
        <v>103</v>
      </c>
      <c r="C555" s="616">
        <f>+'P,R, BU'!C172</f>
        <v>23298.45</v>
      </c>
      <c r="D555" s="616">
        <f>+'P,R, BU'!D172</f>
        <v>22745.41918948826</v>
      </c>
      <c r="E555" s="616">
        <f>+'P,R, BU'!E172</f>
        <v>23159.861673378025</v>
      </c>
      <c r="F555" s="616">
        <f>+'P,R, BU'!F172</f>
        <v>23441.71456242307</v>
      </c>
      <c r="G555" s="616">
        <f>+'P,R, BU'!G172</f>
        <v>23727.324156655377</v>
      </c>
      <c r="H555" s="648">
        <f>+'P,R, BU'!H172</f>
        <v>24016.740545477453</v>
      </c>
    </row>
    <row r="556" spans="2:8" ht="12" customHeight="1">
      <c r="B556" s="649" t="s">
        <v>105</v>
      </c>
      <c r="C556" s="616">
        <f>+'P,R, BU'!C173</f>
        <v>9270.45</v>
      </c>
      <c r="D556" s="616">
        <f>+'P,R, BU'!D173</f>
        <v>9248.458862731863</v>
      </c>
      <c r="E556" s="616">
        <f>+'P,R, BU'!E173</f>
        <v>9605.94126568473</v>
      </c>
      <c r="F556" s="616">
        <f>+'P,R, BU'!F173</f>
        <v>9850.351569736777</v>
      </c>
      <c r="G556" s="616">
        <f>+'P,R, BU'!G173</f>
        <v>10099.433787515882</v>
      </c>
      <c r="H556" s="648">
        <f>+'P,R, BU'!H173</f>
        <v>10353.270929830498</v>
      </c>
    </row>
    <row r="557" spans="2:8" ht="12" customHeight="1">
      <c r="B557" s="649" t="s">
        <v>148</v>
      </c>
      <c r="C557" s="616">
        <f>+'P,R, BU'!C174</f>
        <v>25161.15</v>
      </c>
      <c r="D557" s="616">
        <f>+'P,R, BU'!D174</f>
        <v>24197.837399999997</v>
      </c>
      <c r="E557" s="616">
        <f>+'P,R, BU'!E174</f>
        <v>24188.158265039998</v>
      </c>
      <c r="F557" s="616">
        <f>+'P,R, BU'!F174</f>
        <v>24020.45370106906</v>
      </c>
      <c r="G557" s="616">
        <f>+'P,R, BU'!G174</f>
        <v>23853.911888741648</v>
      </c>
      <c r="H557" s="648">
        <f>+'P,R, BU'!H174</f>
        <v>23688.52476631304</v>
      </c>
    </row>
    <row r="558" spans="2:8" ht="12" customHeight="1">
      <c r="B558" s="649" t="s">
        <v>149</v>
      </c>
      <c r="C558" s="616">
        <f>+'P,R, BU'!C175</f>
        <v>19931</v>
      </c>
      <c r="D558" s="616">
        <f>+'P,R, BU'!D175</f>
        <v>21158.548228744527</v>
      </c>
      <c r="E558" s="616">
        <f>+'P,R, BU'!E175</f>
        <v>21372.44369331942</v>
      </c>
      <c r="F558" s="616">
        <f>+'P,R, BU'!F175</f>
        <v>21517.892609230345</v>
      </c>
      <c r="G558" s="616">
        <f>+'P,R, BU'!G175</f>
        <v>21665.280844020082</v>
      </c>
      <c r="H558" s="648">
        <f>+'P,R, BU'!H175</f>
        <v>21814.63425527369</v>
      </c>
    </row>
    <row r="559" spans="2:8" ht="12" customHeight="1">
      <c r="B559" s="649" t="s">
        <v>150</v>
      </c>
      <c r="C559" s="616">
        <f>+'P,R, BU'!C176</f>
        <v>8707.65</v>
      </c>
      <c r="D559" s="616">
        <f>+'P,R, BU'!D176</f>
        <v>8866.957518322663</v>
      </c>
      <c r="E559" s="616">
        <f>+'P,R, BU'!E176</f>
        <v>9480.94531568836</v>
      </c>
      <c r="F559" s="616">
        <f>+'P,R, BU'!F176</f>
        <v>10137.75761707282</v>
      </c>
      <c r="G559" s="616">
        <f>+'P,R, BU'!G176</f>
        <v>10840.383709855094</v>
      </c>
      <c r="H559" s="648">
        <f>+'P,R, BU'!H176</f>
        <v>11592.02156108744</v>
      </c>
    </row>
    <row r="560" spans="2:8" ht="12" customHeight="1">
      <c r="B560" s="649" t="s">
        <v>145</v>
      </c>
      <c r="C560" s="616">
        <f>+'P,R, BU'!C177</f>
        <v>15473.85</v>
      </c>
      <c r="D560" s="616">
        <f>+'P,R, BU'!D177</f>
        <v>15530.645129202734</v>
      </c>
      <c r="E560" s="616">
        <f>+'P,R, BU'!E177</f>
        <v>15572.563531923599</v>
      </c>
      <c r="F560" s="616">
        <f>+'P,R, BU'!F177</f>
        <v>15611.73974563698</v>
      </c>
      <c r="G560" s="616">
        <f>+'P,R, BU'!G177</f>
        <v>15640.624319671835</v>
      </c>
      <c r="H560" s="648">
        <f>+'P,R, BU'!H177</f>
        <v>15677.15077726746</v>
      </c>
    </row>
    <row r="561" spans="2:8" ht="12" customHeight="1">
      <c r="B561" s="586" t="s">
        <v>1360</v>
      </c>
      <c r="C561" s="616">
        <f>+'P,R, BU'!C178</f>
        <v>3736.0000000000146</v>
      </c>
      <c r="D561" s="616">
        <f>+'P,R, BU'!D178</f>
        <v>6161.435053627385</v>
      </c>
      <c r="E561" s="616">
        <f>+'P,R, BU'!E178</f>
        <v>6687.573664725642</v>
      </c>
      <c r="F561" s="616">
        <f>+'P,R, BU'!F178</f>
        <v>6955.144103387531</v>
      </c>
      <c r="G561" s="616">
        <f>+'P,R, BU'!G178</f>
        <v>7195.229254210775</v>
      </c>
      <c r="H561" s="648">
        <f>+'P,R, BU'!H178</f>
        <v>7386.807631563381</v>
      </c>
    </row>
    <row r="562" spans="2:8" ht="12" customHeight="1">
      <c r="B562" s="649" t="s">
        <v>1425</v>
      </c>
      <c r="C562" s="616">
        <f>+'P,R, BU'!C179</f>
        <v>715.0500000000001</v>
      </c>
      <c r="D562" s="616">
        <f>+'P,R, BU'!D179</f>
        <v>-71.93</v>
      </c>
      <c r="E562" s="616">
        <f>+'P,R, BU'!E179</f>
        <v>-71.93</v>
      </c>
      <c r="F562" s="616">
        <f>+'P,R, BU'!F179</f>
        <v>-71.93</v>
      </c>
      <c r="G562" s="616">
        <f>+'P,R, BU'!G179</f>
        <v>-71.93</v>
      </c>
      <c r="H562" s="648">
        <f>+'P,R, BU'!H179</f>
        <v>-71.93</v>
      </c>
    </row>
    <row r="563" spans="2:8" ht="12" customHeight="1">
      <c r="B563" s="586" t="s">
        <v>1431</v>
      </c>
      <c r="C563" s="616">
        <f>+'P,R, BU'!C180</f>
        <v>3020.9500000000144</v>
      </c>
      <c r="D563" s="616">
        <f>+'P,R, BU'!D180</f>
        <v>6233.365053627385</v>
      </c>
      <c r="E563" s="616">
        <f>+'P,R, BU'!E180</f>
        <v>6759.503664725642</v>
      </c>
      <c r="F563" s="616">
        <f>+'P,R, BU'!F180</f>
        <v>7027.074103387531</v>
      </c>
      <c r="G563" s="616">
        <f>+'P,R, BU'!G180</f>
        <v>7267.1592542107755</v>
      </c>
      <c r="H563" s="648">
        <f>+'P,R, BU'!H180</f>
        <v>7458.737631563381</v>
      </c>
    </row>
    <row r="564" spans="2:8" ht="12" customHeight="1">
      <c r="B564" s="649" t="s">
        <v>1432</v>
      </c>
      <c r="C564" s="616">
        <f>+'P,R, BU'!C181</f>
        <v>0</v>
      </c>
      <c r="D564" s="616">
        <f>+'P,R, BU'!D181</f>
        <v>872.671107507834</v>
      </c>
      <c r="E564" s="616">
        <f>+'P,R, BU'!E181</f>
        <v>946.33051306159</v>
      </c>
      <c r="F564" s="616">
        <f>+'P,R, BU'!F181</f>
        <v>983.7903744742545</v>
      </c>
      <c r="G564" s="616">
        <f>+'P,R, BU'!G181</f>
        <v>1017.4022955895086</v>
      </c>
      <c r="H564" s="648">
        <f>+'P,R, BU'!H181</f>
        <v>1044.2232684188734</v>
      </c>
    </row>
    <row r="565" spans="2:8" ht="12" customHeight="1" thickBot="1">
      <c r="B565" s="594" t="s">
        <v>1433</v>
      </c>
      <c r="C565" s="650">
        <f>+'P,R, BU'!C182</f>
        <v>3020.9500000000144</v>
      </c>
      <c r="D565" s="650">
        <f>+'P,R, BU'!D182</f>
        <v>5360.693946119552</v>
      </c>
      <c r="E565" s="650">
        <f>+'P,R, BU'!E182</f>
        <v>5813.173151664052</v>
      </c>
      <c r="F565" s="650">
        <f>+'P,R, BU'!F182</f>
        <v>6043.283728913277</v>
      </c>
      <c r="G565" s="650">
        <f>+'P,R, BU'!G182</f>
        <v>6249.756958621267</v>
      </c>
      <c r="H565" s="651">
        <f>+'P,R, BU'!H182</f>
        <v>6414.514363144508</v>
      </c>
    </row>
    <row r="566" ht="12" customHeight="1" thickTop="1">
      <c r="B566" s="601"/>
    </row>
    <row r="567" ht="12" customHeight="1">
      <c r="B567" s="540"/>
    </row>
    <row r="568" ht="12" customHeight="1">
      <c r="B568" s="601"/>
    </row>
    <row r="569" ht="12" customHeight="1">
      <c r="B569" s="538" t="s">
        <v>888</v>
      </c>
    </row>
    <row r="570" ht="12" customHeight="1">
      <c r="B570" s="539" t="s">
        <v>889</v>
      </c>
    </row>
    <row r="571" ht="12" customHeight="1">
      <c r="B571" s="539"/>
    </row>
    <row r="572" ht="12" customHeight="1">
      <c r="B572" s="538"/>
    </row>
    <row r="573" ht="12" customHeight="1">
      <c r="B573" s="551"/>
    </row>
    <row r="574" ht="12" customHeight="1">
      <c r="B574" s="551"/>
    </row>
    <row r="576" ht="12" customHeight="1">
      <c r="B576" s="540"/>
    </row>
    <row r="577" ht="12" customHeight="1">
      <c r="B577" s="537" t="s">
        <v>1246</v>
      </c>
    </row>
    <row r="578" ht="12" customHeight="1">
      <c r="B578" s="537"/>
    </row>
    <row r="579" ht="12" customHeight="1">
      <c r="B579" s="549" t="s">
        <v>844</v>
      </c>
    </row>
    <row r="580" ht="12" customHeight="1">
      <c r="B580" s="540"/>
    </row>
    <row r="581" ht="12" customHeight="1">
      <c r="B581" s="538" t="s">
        <v>58</v>
      </c>
    </row>
    <row r="582" ht="12" customHeight="1">
      <c r="B582" s="539" t="s">
        <v>59</v>
      </c>
    </row>
    <row r="583" ht="12" customHeight="1">
      <c r="B583" s="539" t="s">
        <v>62</v>
      </c>
    </row>
    <row r="584" ht="12" customHeight="1">
      <c r="B584" s="539" t="s">
        <v>60</v>
      </c>
    </row>
    <row r="585" ht="12" customHeight="1">
      <c r="B585" s="539" t="s">
        <v>61</v>
      </c>
    </row>
    <row r="586" ht="12" customHeight="1">
      <c r="B586" s="539"/>
    </row>
    <row r="587" ht="12" customHeight="1">
      <c r="B587" s="538" t="s">
        <v>63</v>
      </c>
    </row>
    <row r="588" ht="12" customHeight="1">
      <c r="B588" s="539" t="s">
        <v>24</v>
      </c>
    </row>
    <row r="589" ht="12" customHeight="1">
      <c r="B589" s="539" t="s">
        <v>25</v>
      </c>
    </row>
    <row r="590" ht="12" customHeight="1">
      <c r="B590" s="539" t="s">
        <v>26</v>
      </c>
    </row>
    <row r="591" ht="12" customHeight="1">
      <c r="B591" s="539" t="s">
        <v>1465</v>
      </c>
    </row>
    <row r="592" ht="12" customHeight="1">
      <c r="B592" s="539" t="s">
        <v>1466</v>
      </c>
    </row>
    <row r="593" ht="12" customHeight="1">
      <c r="B593" s="652"/>
    </row>
    <row r="594" ht="12" customHeight="1">
      <c r="B594" s="545"/>
    </row>
    <row r="595" ht="12" customHeight="1">
      <c r="B595" s="540" t="s">
        <v>346</v>
      </c>
    </row>
    <row r="596" spans="2:4" ht="12" customHeight="1">
      <c r="B596" s="601" t="s">
        <v>191</v>
      </c>
      <c r="C596" s="401"/>
      <c r="D596" s="401"/>
    </row>
    <row r="597" spans="2:4" ht="12" customHeight="1" thickBot="1">
      <c r="B597" s="601"/>
      <c r="C597" s="401"/>
      <c r="D597" s="401"/>
    </row>
    <row r="598" spans="2:4" ht="12" customHeight="1" thickTop="1">
      <c r="B598" s="653" t="s">
        <v>192</v>
      </c>
      <c r="C598" s="654" t="s">
        <v>341</v>
      </c>
      <c r="D598" s="655" t="s">
        <v>343</v>
      </c>
    </row>
    <row r="599" spans="2:4" ht="12" customHeight="1">
      <c r="B599" s="656" t="s">
        <v>193</v>
      </c>
      <c r="C599" s="657" t="s">
        <v>342</v>
      </c>
      <c r="D599" s="658" t="s">
        <v>344</v>
      </c>
    </row>
    <row r="600" spans="2:4" ht="12" customHeight="1">
      <c r="B600" s="559"/>
      <c r="C600" s="404"/>
      <c r="D600" s="658" t="s">
        <v>1052</v>
      </c>
    </row>
    <row r="601" spans="2:4" ht="12" customHeight="1">
      <c r="B601" s="659" t="s">
        <v>1439</v>
      </c>
      <c r="C601" s="660">
        <f>+'Proj. sredstava'!J9</f>
        <v>6</v>
      </c>
      <c r="D601" s="661">
        <f>+'Proj. sredstava'!K9</f>
        <v>60</v>
      </c>
    </row>
    <row r="602" spans="2:4" ht="12" customHeight="1">
      <c r="B602" s="659" t="s">
        <v>151</v>
      </c>
      <c r="C602" s="660">
        <f>+'Proj. sredstava'!J10</f>
        <v>90</v>
      </c>
      <c r="D602" s="661">
        <f>+'Proj. sredstava'!K10</f>
        <v>4</v>
      </c>
    </row>
    <row r="603" spans="2:4" ht="12" customHeight="1">
      <c r="B603" s="659" t="s">
        <v>1436</v>
      </c>
      <c r="C603" s="660">
        <f>+'Proj. sredstava'!J11</f>
        <v>180</v>
      </c>
      <c r="D603" s="661">
        <f>+'Proj. sredstava'!K11</f>
        <v>2</v>
      </c>
    </row>
    <row r="604" spans="2:4" ht="12" customHeight="1">
      <c r="B604" s="659" t="s">
        <v>1053</v>
      </c>
      <c r="C604" s="660">
        <f>+'Proj. sredstava'!J12</f>
        <v>12</v>
      </c>
      <c r="D604" s="661">
        <f>+'Proj. sredstava'!K12</f>
        <v>30</v>
      </c>
    </row>
    <row r="605" spans="2:4" ht="12" customHeight="1">
      <c r="B605" s="659" t="s">
        <v>1437</v>
      </c>
      <c r="C605" s="660">
        <f>+'Proj. sredstava'!J13</f>
        <v>120</v>
      </c>
      <c r="D605" s="661">
        <f>+'Proj. sredstava'!K13</f>
        <v>3</v>
      </c>
    </row>
    <row r="606" spans="2:4" ht="12" customHeight="1">
      <c r="B606" s="659" t="s">
        <v>1069</v>
      </c>
      <c r="C606" s="660">
        <f>+'Proj. sredstava'!J14</f>
        <v>12</v>
      </c>
      <c r="D606" s="661">
        <f>+'Proj. sredstava'!K14</f>
        <v>30</v>
      </c>
    </row>
    <row r="607" spans="2:4" ht="12" customHeight="1">
      <c r="B607" s="659" t="s">
        <v>1438</v>
      </c>
      <c r="C607" s="660">
        <f>+'Proj. sredstava'!J15</f>
        <v>12</v>
      </c>
      <c r="D607" s="661">
        <f>+'Proj. sredstava'!K15</f>
        <v>30</v>
      </c>
    </row>
    <row r="608" spans="2:4" ht="12" customHeight="1" thickBot="1">
      <c r="B608" s="662" t="s">
        <v>152</v>
      </c>
      <c r="C608" s="663">
        <f>+'Proj. sredstava'!J16</f>
        <v>12</v>
      </c>
      <c r="D608" s="664">
        <f>+'Proj. sredstava'!K16</f>
        <v>30</v>
      </c>
    </row>
    <row r="609" ht="12" customHeight="1" thickTop="1">
      <c r="B609" s="601"/>
    </row>
    <row r="610" ht="12" customHeight="1">
      <c r="B610" s="538" t="s">
        <v>1467</v>
      </c>
    </row>
    <row r="611" ht="12" customHeight="1">
      <c r="B611" s="539" t="s">
        <v>1468</v>
      </c>
    </row>
    <row r="612" ht="12" customHeight="1">
      <c r="B612" s="538" t="s">
        <v>1469</v>
      </c>
    </row>
    <row r="613" ht="12" customHeight="1">
      <c r="B613" s="538" t="s">
        <v>1470</v>
      </c>
    </row>
    <row r="616" ht="12" customHeight="1">
      <c r="B616" s="549" t="s">
        <v>194</v>
      </c>
    </row>
    <row r="617" ht="12" customHeight="1">
      <c r="B617" s="540"/>
    </row>
    <row r="618" ht="12" customHeight="1">
      <c r="B618" s="538" t="s">
        <v>1471</v>
      </c>
    </row>
    <row r="619" ht="12" customHeight="1">
      <c r="B619" s="538" t="s">
        <v>1472</v>
      </c>
    </row>
    <row r="620" ht="12" customHeight="1">
      <c r="B620" s="538" t="s">
        <v>1473</v>
      </c>
    </row>
    <row r="621" ht="12" customHeight="1">
      <c r="B621" s="538" t="s">
        <v>1474</v>
      </c>
    </row>
    <row r="622" ht="12" customHeight="1">
      <c r="B622" s="540"/>
    </row>
    <row r="623" ht="12" customHeight="1">
      <c r="B623" s="540"/>
    </row>
    <row r="624" ht="12" customHeight="1">
      <c r="B624" s="540"/>
    </row>
    <row r="625" spans="2:7" ht="12" customHeight="1">
      <c r="B625" s="601" t="s">
        <v>1452</v>
      </c>
      <c r="C625" s="401"/>
      <c r="D625" s="401"/>
      <c r="E625" s="401"/>
      <c r="F625" s="401"/>
      <c r="G625" s="401"/>
    </row>
    <row r="626" spans="3:7" ht="12" customHeight="1" thickBot="1">
      <c r="C626" s="401"/>
      <c r="D626" s="401"/>
      <c r="E626" s="613" t="s">
        <v>277</v>
      </c>
      <c r="F626" s="401"/>
      <c r="G626" s="401"/>
    </row>
    <row r="627" spans="2:7" ht="12" customHeight="1" thickTop="1">
      <c r="B627" s="665" t="s">
        <v>1441</v>
      </c>
      <c r="C627" s="666" t="s">
        <v>1453</v>
      </c>
      <c r="D627" s="666"/>
      <c r="E627" s="666"/>
      <c r="F627" s="666"/>
      <c r="G627" s="655"/>
    </row>
    <row r="628" spans="2:7" ht="12" customHeight="1">
      <c r="B628" s="659"/>
      <c r="C628" s="667">
        <v>2003</v>
      </c>
      <c r="D628" s="667">
        <v>2004</v>
      </c>
      <c r="E628" s="667">
        <v>2005</v>
      </c>
      <c r="F628" s="667">
        <v>2006</v>
      </c>
      <c r="G628" s="658">
        <v>2007</v>
      </c>
    </row>
    <row r="629" spans="2:7" ht="12" customHeight="1">
      <c r="B629" s="668"/>
      <c r="C629" s="660"/>
      <c r="D629" s="660"/>
      <c r="E629" s="660"/>
      <c r="F629" s="660"/>
      <c r="G629" s="661"/>
    </row>
    <row r="630" spans="2:7" ht="12" customHeight="1">
      <c r="B630" s="659" t="s">
        <v>1417</v>
      </c>
      <c r="C630" s="660"/>
      <c r="D630" s="660"/>
      <c r="E630" s="660"/>
      <c r="F630" s="660"/>
      <c r="G630" s="661"/>
    </row>
    <row r="631" spans="2:7" ht="12" customHeight="1">
      <c r="B631" s="659" t="s">
        <v>1414</v>
      </c>
      <c r="C631" s="669">
        <f>+'Proj. sredstava'!C46</f>
        <v>10729.544324289443</v>
      </c>
      <c r="D631" s="669">
        <f>+'Proj. sredstava'!D46</f>
        <v>10810.697850210518</v>
      </c>
      <c r="E631" s="669">
        <f>+'Proj. sredstava'!E46</f>
        <v>10892.46518549482</v>
      </c>
      <c r="F631" s="669">
        <f>+'Proj. sredstava'!F46</f>
        <v>10974.850972724793</v>
      </c>
      <c r="G631" s="670">
        <f>+'Proj. sredstava'!G46</f>
        <v>11057.859889597312</v>
      </c>
    </row>
    <row r="632" spans="2:7" ht="12" customHeight="1">
      <c r="B632" s="659" t="s">
        <v>1054</v>
      </c>
      <c r="C632" s="669">
        <f>+'Proj. sredstava'!C47</f>
        <v>10649</v>
      </c>
      <c r="D632" s="669">
        <f>+'Proj. sredstava'!D47</f>
        <v>10649</v>
      </c>
      <c r="E632" s="669">
        <f>+'Proj. sredstava'!E47</f>
        <v>10649</v>
      </c>
      <c r="F632" s="669">
        <f>+'Proj. sredstava'!F47</f>
        <v>10649</v>
      </c>
      <c r="G632" s="670">
        <f>+'Proj. sredstava'!G47</f>
        <v>10649</v>
      </c>
    </row>
    <row r="633" spans="2:7" ht="12" customHeight="1">
      <c r="B633" s="659" t="s">
        <v>1457</v>
      </c>
      <c r="C633" s="669">
        <f>+'Proj. sredstava'!C48</f>
        <v>80.54432428944332</v>
      </c>
      <c r="D633" s="669">
        <f>+'Proj. sredstava'!D48</f>
        <v>161.69785021051808</v>
      </c>
      <c r="E633" s="669">
        <f>+'Proj. sredstava'!E48</f>
        <v>243.46518549482118</v>
      </c>
      <c r="F633" s="669">
        <f>+'Proj. sredstava'!F48</f>
        <v>325.85097272479265</v>
      </c>
      <c r="G633" s="670">
        <f>+'Proj. sredstava'!G48</f>
        <v>408.85988959731196</v>
      </c>
    </row>
    <row r="634" spans="2:7" ht="12" customHeight="1">
      <c r="B634" s="659" t="s">
        <v>1454</v>
      </c>
      <c r="C634" s="669">
        <f>+'Proj. sredstava'!C49</f>
        <v>8478.544324289443</v>
      </c>
      <c r="D634" s="669">
        <f>+'Proj. sredstava'!D49</f>
        <v>8559.697850210518</v>
      </c>
      <c r="E634" s="669">
        <f>+'Proj. sredstava'!E49</f>
        <v>8641.46518549482</v>
      </c>
      <c r="F634" s="669">
        <f>+'Proj. sredstava'!F49</f>
        <v>8723.850972724793</v>
      </c>
      <c r="G634" s="670">
        <f>+'Proj. sredstava'!G49</f>
        <v>8806.859889597312</v>
      </c>
    </row>
    <row r="635" spans="2:7" ht="12" customHeight="1">
      <c r="B635" s="659" t="s">
        <v>155</v>
      </c>
      <c r="C635" s="669">
        <f>+'Proj. sredstava'!C50</f>
        <v>2251</v>
      </c>
      <c r="D635" s="669">
        <f>+'Proj. sredstava'!D50</f>
        <v>2251</v>
      </c>
      <c r="E635" s="669">
        <f>+'Proj. sredstava'!E50</f>
        <v>2251</v>
      </c>
      <c r="F635" s="669">
        <f>+'Proj. sredstava'!F50</f>
        <v>2251</v>
      </c>
      <c r="G635" s="670">
        <f>+'Proj. sredstava'!G50</f>
        <v>2251</v>
      </c>
    </row>
    <row r="636" spans="2:7" ht="12" customHeight="1">
      <c r="B636" s="659" t="s">
        <v>1418</v>
      </c>
      <c r="C636" s="669">
        <f>+'Proj. sredstava'!C51</f>
        <v>0</v>
      </c>
      <c r="D636" s="669">
        <f>+'Proj. sredstava'!D51</f>
        <v>0</v>
      </c>
      <c r="E636" s="669">
        <f>+'Proj. sredstava'!E51</f>
        <v>0</v>
      </c>
      <c r="F636" s="669">
        <f>+'Proj. sredstava'!F51</f>
        <v>0</v>
      </c>
      <c r="G636" s="670">
        <f>+'Proj. sredstava'!G51</f>
        <v>0</v>
      </c>
    </row>
    <row r="637" spans="2:7" ht="12" customHeight="1">
      <c r="B637" s="659" t="s">
        <v>1414</v>
      </c>
      <c r="C637" s="669">
        <f>+'Proj. sredstava'!C52</f>
        <v>134648.41319403323</v>
      </c>
      <c r="D637" s="669">
        <f>+'Proj. sredstava'!D52</f>
        <v>144048.2049838005</v>
      </c>
      <c r="E637" s="669">
        <f>+'Proj. sredstava'!E52</f>
        <v>154104.19526558902</v>
      </c>
      <c r="F637" s="669">
        <f>+'Proj. sredstava'!F52</f>
        <v>164862.19318821415</v>
      </c>
      <c r="G637" s="670">
        <f>+'Proj. sredstava'!G52</f>
        <v>176371.20583242906</v>
      </c>
    </row>
    <row r="638" spans="2:7" ht="12" customHeight="1">
      <c r="B638" s="659" t="s">
        <v>1058</v>
      </c>
      <c r="C638" s="669">
        <f>+'Proj. sredstava'!C53</f>
        <v>125862</v>
      </c>
      <c r="D638" s="669">
        <f>+'Proj. sredstava'!D53</f>
        <v>125862</v>
      </c>
      <c r="E638" s="669">
        <f>+'Proj. sredstava'!E53</f>
        <v>125862</v>
      </c>
      <c r="F638" s="669">
        <f>+'Proj. sredstava'!F53</f>
        <v>125862</v>
      </c>
      <c r="G638" s="670">
        <f>+'Proj. sredstava'!G53</f>
        <v>125862</v>
      </c>
    </row>
    <row r="639" spans="2:7" ht="12" customHeight="1">
      <c r="B639" s="659" t="s">
        <v>1457</v>
      </c>
      <c r="C639" s="669">
        <f>+'Proj. sredstava'!C54</f>
        <v>8786.413194033219</v>
      </c>
      <c r="D639" s="669">
        <f>+'Proj. sredstava'!D54</f>
        <v>18186.204983800504</v>
      </c>
      <c r="E639" s="669">
        <f>+'Proj. sredstava'!E54</f>
        <v>28242.19526558902</v>
      </c>
      <c r="F639" s="669">
        <f>+'Proj. sredstava'!F54</f>
        <v>39000.19318821414</v>
      </c>
      <c r="G639" s="670">
        <f>+'Proj. sredstava'!G54</f>
        <v>50509.20583242906</v>
      </c>
    </row>
    <row r="640" spans="2:7" ht="12" customHeight="1">
      <c r="B640" s="659" t="s">
        <v>1454</v>
      </c>
      <c r="C640" s="669">
        <f>+'Proj. sredstava'!C55</f>
        <v>117340.41319403322</v>
      </c>
      <c r="D640" s="669">
        <f>+'Proj. sredstava'!D55</f>
        <v>126740.20498380049</v>
      </c>
      <c r="E640" s="669">
        <f>+'Proj. sredstava'!E55</f>
        <v>136796.195265589</v>
      </c>
      <c r="F640" s="669">
        <f>+'Proj. sredstava'!F55</f>
        <v>147554.19318821415</v>
      </c>
      <c r="G640" s="670">
        <f>+'Proj. sredstava'!G55</f>
        <v>159063.20583242906</v>
      </c>
    </row>
    <row r="641" spans="2:7" ht="12" customHeight="1">
      <c r="B641" s="659" t="s">
        <v>155</v>
      </c>
      <c r="C641" s="669">
        <f>+'Proj. sredstava'!C56</f>
        <v>17308.000000000015</v>
      </c>
      <c r="D641" s="669">
        <f>+'Proj. sredstava'!D56</f>
        <v>17308.000000000015</v>
      </c>
      <c r="E641" s="669">
        <f>+'Proj. sredstava'!E56</f>
        <v>17308.000000000015</v>
      </c>
      <c r="F641" s="669">
        <f>+'Proj. sredstava'!F56</f>
        <v>17308.000000000015</v>
      </c>
      <c r="G641" s="670">
        <f>+'Proj. sredstava'!G56</f>
        <v>17308.000000000015</v>
      </c>
    </row>
    <row r="642" spans="2:7" ht="12" customHeight="1">
      <c r="B642" s="659" t="s">
        <v>195</v>
      </c>
      <c r="C642" s="669">
        <f>+'Proj. sredstava'!C57</f>
        <v>0</v>
      </c>
      <c r="D642" s="669">
        <f>+'Proj. sredstava'!D57</f>
        <v>0</v>
      </c>
      <c r="E642" s="669">
        <f>+'Proj. sredstava'!E57</f>
        <v>0</v>
      </c>
      <c r="F642" s="669">
        <f>+'Proj. sredstava'!F57</f>
        <v>0</v>
      </c>
      <c r="G642" s="670">
        <f>+'Proj. sredstava'!G57</f>
        <v>0</v>
      </c>
    </row>
    <row r="643" spans="2:7" ht="12" customHeight="1">
      <c r="B643" s="659" t="s">
        <v>156</v>
      </c>
      <c r="C643" s="669">
        <f>+'Proj. sredstava'!C58</f>
        <v>19472</v>
      </c>
      <c r="D643" s="669">
        <f>+'Proj. sredstava'!D58</f>
        <v>19472</v>
      </c>
      <c r="E643" s="669">
        <f>+'Proj. sredstava'!E58</f>
        <v>19472</v>
      </c>
      <c r="F643" s="669">
        <f>+'Proj. sredstava'!F58</f>
        <v>19472</v>
      </c>
      <c r="G643" s="670">
        <f>+'Proj. sredstava'!G58</f>
        <v>19472</v>
      </c>
    </row>
    <row r="644" spans="2:7" ht="12" customHeight="1">
      <c r="B644" s="659" t="s">
        <v>14</v>
      </c>
      <c r="C644" s="669">
        <f>+'Proj. sredstava'!C59</f>
        <v>0</v>
      </c>
      <c r="D644" s="669">
        <f>+'Proj. sredstava'!D59</f>
        <v>0</v>
      </c>
      <c r="E644" s="669">
        <f>+'Proj. sredstava'!E59</f>
        <v>0</v>
      </c>
      <c r="F644" s="669">
        <f>+'Proj. sredstava'!F59</f>
        <v>0</v>
      </c>
      <c r="G644" s="670">
        <f>+'Proj. sredstava'!G59</f>
        <v>0</v>
      </c>
    </row>
    <row r="645" spans="2:7" ht="12" customHeight="1">
      <c r="B645" s="659" t="s">
        <v>156</v>
      </c>
      <c r="C645" s="669">
        <f>+'Proj. sredstava'!C60</f>
        <v>0</v>
      </c>
      <c r="D645" s="669">
        <f>+'Proj. sredstava'!D60</f>
        <v>0</v>
      </c>
      <c r="E645" s="669">
        <f>+'Proj. sredstava'!E60</f>
        <v>0</v>
      </c>
      <c r="F645" s="669">
        <f>+'Proj. sredstava'!F60</f>
        <v>0</v>
      </c>
      <c r="G645" s="670">
        <f>+'Proj. sredstava'!G60</f>
        <v>0</v>
      </c>
    </row>
    <row r="646" spans="2:7" ht="12" customHeight="1">
      <c r="B646" s="659" t="s">
        <v>1455</v>
      </c>
      <c r="C646" s="669">
        <f>+'Proj. sredstava'!C61</f>
        <v>164849.95751832268</v>
      </c>
      <c r="D646" s="669">
        <f>+'Proj. sredstava'!D61</f>
        <v>174330.902834011</v>
      </c>
      <c r="E646" s="669">
        <f>+'Proj. sredstava'!E61</f>
        <v>184468.66045108385</v>
      </c>
      <c r="F646" s="669">
        <f>+'Proj. sredstava'!F61</f>
        <v>195309.04416093894</v>
      </c>
      <c r="G646" s="670">
        <f>+'Proj. sredstava'!G61</f>
        <v>206901.06572202637</v>
      </c>
    </row>
    <row r="647" spans="2:7" ht="12" customHeight="1">
      <c r="B647" s="659" t="s">
        <v>1456</v>
      </c>
      <c r="C647" s="669">
        <f>+'Proj. sredstava'!C62</f>
        <v>125818.95751832266</v>
      </c>
      <c r="D647" s="669">
        <f>+'Proj. sredstava'!D62</f>
        <v>135299.902834011</v>
      </c>
      <c r="E647" s="669">
        <f>+'Proj. sredstava'!E62</f>
        <v>145437.66045108382</v>
      </c>
      <c r="F647" s="669">
        <f>+'Proj. sredstava'!F62</f>
        <v>156278.04416093894</v>
      </c>
      <c r="G647" s="670">
        <f>+'Proj. sredstava'!G62</f>
        <v>167870.06572202637</v>
      </c>
    </row>
    <row r="648" spans="2:7" ht="12" customHeight="1" thickBot="1">
      <c r="B648" s="662" t="s">
        <v>1050</v>
      </c>
      <c r="C648" s="671">
        <f>+'Proj. sredstava'!C63</f>
        <v>39031.000000000015</v>
      </c>
      <c r="D648" s="671">
        <f>+'Proj. sredstava'!D63</f>
        <v>39031.000000000015</v>
      </c>
      <c r="E648" s="671">
        <f>+'Proj. sredstava'!E63</f>
        <v>39031.000000000015</v>
      </c>
      <c r="F648" s="671">
        <f>+'Proj. sredstava'!F63</f>
        <v>39031.000000000015</v>
      </c>
      <c r="G648" s="672">
        <f>+'Proj. sredstava'!G63</f>
        <v>39031.000000000015</v>
      </c>
    </row>
    <row r="649" ht="12" customHeight="1" thickTop="1">
      <c r="B649" s="601"/>
    </row>
    <row r="650" ht="12" customHeight="1">
      <c r="B650" s="540"/>
    </row>
    <row r="651" ht="12" customHeight="1">
      <c r="B651" s="549" t="s">
        <v>196</v>
      </c>
    </row>
    <row r="652" ht="12" customHeight="1">
      <c r="B652" s="540"/>
    </row>
    <row r="653" ht="12" customHeight="1">
      <c r="B653" s="540"/>
    </row>
    <row r="654" ht="12" customHeight="1">
      <c r="B654" s="538" t="s">
        <v>1479</v>
      </c>
    </row>
    <row r="655" ht="12" customHeight="1">
      <c r="B655" s="538" t="s">
        <v>1475</v>
      </c>
    </row>
    <row r="656" ht="12" customHeight="1">
      <c r="B656" s="538" t="s">
        <v>1476</v>
      </c>
    </row>
    <row r="657" ht="12" customHeight="1">
      <c r="B657" s="538" t="s">
        <v>1477</v>
      </c>
    </row>
    <row r="658" ht="12" customHeight="1">
      <c r="B658" s="538" t="s">
        <v>1478</v>
      </c>
    </row>
    <row r="659" ht="12" customHeight="1">
      <c r="B659" s="601" t="s">
        <v>197</v>
      </c>
    </row>
    <row r="660" ht="12" customHeight="1">
      <c r="B660" s="537" t="s">
        <v>353</v>
      </c>
    </row>
    <row r="661" ht="12" customHeight="1">
      <c r="B661" s="537"/>
    </row>
    <row r="662" ht="12" customHeight="1">
      <c r="B662" s="549" t="s">
        <v>354</v>
      </c>
    </row>
    <row r="663" ht="12" customHeight="1">
      <c r="B663" s="540"/>
    </row>
    <row r="664" ht="12" customHeight="1">
      <c r="B664" s="538" t="s">
        <v>1480</v>
      </c>
    </row>
    <row r="665" ht="12" customHeight="1">
      <c r="B665" s="538" t="s">
        <v>1481</v>
      </c>
    </row>
    <row r="666" ht="12" customHeight="1">
      <c r="B666" s="538" t="s">
        <v>1482</v>
      </c>
    </row>
    <row r="667" ht="12" customHeight="1">
      <c r="B667" s="538" t="s">
        <v>1483</v>
      </c>
    </row>
    <row r="668" ht="12" customHeight="1">
      <c r="B668" s="540"/>
    </row>
    <row r="669" ht="12" customHeight="1">
      <c r="B669" s="540"/>
    </row>
    <row r="670" spans="2:7" ht="12" customHeight="1">
      <c r="B670" s="601" t="s">
        <v>198</v>
      </c>
      <c r="C670" s="673"/>
      <c r="D670" s="673"/>
      <c r="E670" s="673"/>
      <c r="F670" s="673"/>
      <c r="G670" s="673"/>
    </row>
    <row r="671" spans="3:7" ht="12" customHeight="1" thickBot="1">
      <c r="C671" s="673"/>
      <c r="D671" s="673"/>
      <c r="E671" s="674" t="s">
        <v>1237</v>
      </c>
      <c r="F671" s="673"/>
      <c r="G671" s="673"/>
    </row>
    <row r="672" spans="2:7" ht="12" customHeight="1" thickTop="1">
      <c r="B672" s="647" t="s">
        <v>1441</v>
      </c>
      <c r="C672" s="1000" t="s">
        <v>1453</v>
      </c>
      <c r="D672" s="1000"/>
      <c r="E672" s="1000"/>
      <c r="F672" s="1000"/>
      <c r="G672" s="1001"/>
    </row>
    <row r="673" spans="2:7" ht="12" customHeight="1">
      <c r="B673" s="586"/>
      <c r="C673" s="635" t="s">
        <v>1400</v>
      </c>
      <c r="D673" s="635" t="s">
        <v>1401</v>
      </c>
      <c r="E673" s="635" t="s">
        <v>1402</v>
      </c>
      <c r="F673" s="635" t="s">
        <v>1403</v>
      </c>
      <c r="G673" s="636" t="s">
        <v>1404</v>
      </c>
    </row>
    <row r="674" spans="2:7" ht="12" customHeight="1">
      <c r="B674" s="586"/>
      <c r="C674" s="621"/>
      <c r="D674" s="621"/>
      <c r="E674" s="621"/>
      <c r="F674" s="621"/>
      <c r="G674" s="675"/>
    </row>
    <row r="675" spans="2:7" ht="12" customHeight="1">
      <c r="B675" s="586" t="s">
        <v>1360</v>
      </c>
      <c r="C675" s="616">
        <f>+PNT!C8</f>
        <v>6161.435053627385</v>
      </c>
      <c r="D675" s="616">
        <f>+PNT!D8</f>
        <v>6687.573664725642</v>
      </c>
      <c r="E675" s="616">
        <f>+PNT!E8</f>
        <v>6955.144103387531</v>
      </c>
      <c r="F675" s="616">
        <f>+PNT!F8</f>
        <v>7195.229254210775</v>
      </c>
      <c r="G675" s="648">
        <f>+PNT!G8</f>
        <v>7386.807631563381</v>
      </c>
    </row>
    <row r="676" spans="2:7" ht="12" customHeight="1">
      <c r="B676" s="676" t="s">
        <v>1459</v>
      </c>
      <c r="C676" s="616">
        <f>+PNT!C9</f>
        <v>-872.671107507834</v>
      </c>
      <c r="D676" s="616">
        <f>+PNT!D9</f>
        <v>-946.33051306159</v>
      </c>
      <c r="E676" s="616">
        <f>+PNT!E9</f>
        <v>-983.7903744742545</v>
      </c>
      <c r="F676" s="616">
        <f>+PNT!F9</f>
        <v>-1017.4022955895086</v>
      </c>
      <c r="G676" s="648">
        <f>+PNT!G9</f>
        <v>-1044.2232684188734</v>
      </c>
    </row>
    <row r="677" spans="2:7" ht="12" customHeight="1">
      <c r="B677" s="676" t="s">
        <v>246</v>
      </c>
      <c r="C677" s="616">
        <f>+PNT!C10</f>
        <v>8866.957518322663</v>
      </c>
      <c r="D677" s="616">
        <f>+PNT!D10</f>
        <v>9480.94531568836</v>
      </c>
      <c r="E677" s="616">
        <f>+PNT!E10</f>
        <v>10137.75761707282</v>
      </c>
      <c r="F677" s="616">
        <f>+PNT!F10</f>
        <v>10840.383709855094</v>
      </c>
      <c r="G677" s="648">
        <f>+PNT!G10</f>
        <v>11592.02156108744</v>
      </c>
    </row>
    <row r="678" spans="2:7" ht="12" customHeight="1">
      <c r="B678" s="676" t="s">
        <v>1073</v>
      </c>
      <c r="C678" s="616">
        <f>+PNT!C11</f>
        <v>14155.721464442213</v>
      </c>
      <c r="D678" s="616">
        <f>+PNT!D11</f>
        <v>15222.188467352411</v>
      </c>
      <c r="E678" s="616">
        <f>+PNT!E11</f>
        <v>16109.111345986097</v>
      </c>
      <c r="F678" s="616">
        <f>+PNT!F11</f>
        <v>17018.21066847636</v>
      </c>
      <c r="G678" s="648">
        <f>+PNT!G11</f>
        <v>17934.605924231946</v>
      </c>
    </row>
    <row r="679" spans="2:7" ht="12" customHeight="1">
      <c r="B679" s="586"/>
      <c r="C679" s="616">
        <f>+PNT!C12</f>
        <v>0</v>
      </c>
      <c r="D679" s="616">
        <f>+PNT!D12</f>
        <v>0</v>
      </c>
      <c r="E679" s="616">
        <f>+PNT!E12</f>
        <v>0</v>
      </c>
      <c r="F679" s="616">
        <f>+PNT!F12</f>
        <v>0</v>
      </c>
      <c r="G679" s="648">
        <f>+PNT!G12</f>
        <v>0</v>
      </c>
    </row>
    <row r="680" spans="2:7" ht="12" customHeight="1">
      <c r="B680" s="676" t="s">
        <v>247</v>
      </c>
      <c r="C680" s="616">
        <f>+PNT!C13</f>
        <v>-4041.768210663805</v>
      </c>
      <c r="D680" s="616">
        <f>+PNT!D13</f>
        <v>-187.79079116599314</v>
      </c>
      <c r="E680" s="616">
        <f>+PNT!E13</f>
        <v>-136.28180918357975</v>
      </c>
      <c r="F680" s="616">
        <f>+PNT!F13</f>
        <v>-138.56903154021984</v>
      </c>
      <c r="G680" s="648">
        <f>+PNT!G13</f>
        <v>-139.63200338501065</v>
      </c>
    </row>
    <row r="681" spans="2:7" ht="12" customHeight="1">
      <c r="B681" s="676" t="s">
        <v>248</v>
      </c>
      <c r="C681" s="616">
        <f>+PNT!C14</f>
        <v>-8866.957518322663</v>
      </c>
      <c r="D681" s="616">
        <f>+PNT!D14</f>
        <v>-9480.945315688325</v>
      </c>
      <c r="E681" s="616">
        <f>+PNT!E14</f>
        <v>-10137.757617072843</v>
      </c>
      <c r="F681" s="616">
        <f>+PNT!F14</f>
        <v>-10840.383709855087</v>
      </c>
      <c r="G681" s="648">
        <f>+PNT!G14</f>
        <v>-11592.02156108743</v>
      </c>
    </row>
    <row r="682" spans="2:7" ht="12" customHeight="1">
      <c r="B682" s="676" t="s">
        <v>1074</v>
      </c>
      <c r="C682" s="616">
        <f>+PNT!C15</f>
        <v>0</v>
      </c>
      <c r="D682" s="616">
        <f>+PNT!D15</f>
        <v>0</v>
      </c>
      <c r="E682" s="616">
        <f>+PNT!E15</f>
        <v>0</v>
      </c>
      <c r="F682" s="616">
        <f>+PNT!F15</f>
        <v>0</v>
      </c>
      <c r="G682" s="648">
        <f>+PNT!G15</f>
        <v>0</v>
      </c>
    </row>
    <row r="683" spans="2:7" ht="12" customHeight="1">
      <c r="B683" s="676" t="s">
        <v>1075</v>
      </c>
      <c r="C683" s="616">
        <f>+PNT!C16</f>
        <v>-12908.725728986468</v>
      </c>
      <c r="D683" s="616">
        <f>+PNT!D16</f>
        <v>-9668.736106854318</v>
      </c>
      <c r="E683" s="616">
        <f>+PNT!E16</f>
        <v>-10274.039426256422</v>
      </c>
      <c r="F683" s="616">
        <f>+PNT!F16</f>
        <v>-10978.952741395307</v>
      </c>
      <c r="G683" s="648">
        <f>+PNT!G16</f>
        <v>-11731.653564472439</v>
      </c>
    </row>
    <row r="684" spans="2:7" ht="12" customHeight="1">
      <c r="B684" s="586" t="s">
        <v>1076</v>
      </c>
      <c r="C684" s="616">
        <f>+PNT!C17</f>
        <v>1246.9957354557446</v>
      </c>
      <c r="D684" s="616">
        <f>+PNT!D17</f>
        <v>5553.452360498093</v>
      </c>
      <c r="E684" s="616">
        <f>+PNT!E17</f>
        <v>5835.071919729675</v>
      </c>
      <c r="F684" s="616">
        <f>+PNT!F17</f>
        <v>6039.257927081053</v>
      </c>
      <c r="G684" s="648">
        <f>+PNT!G17</f>
        <v>6202.952359759507</v>
      </c>
    </row>
    <row r="685" spans="2:7" ht="12" customHeight="1">
      <c r="B685" s="586"/>
      <c r="C685" s="616">
        <f>+PNT!C18</f>
        <v>0</v>
      </c>
      <c r="D685" s="616">
        <f>+PNT!D18</f>
        <v>0</v>
      </c>
      <c r="E685" s="616">
        <f>+PNT!E18</f>
        <v>0</v>
      </c>
      <c r="F685" s="616">
        <f>+PNT!F18</f>
        <v>0</v>
      </c>
      <c r="G685" s="648">
        <f>+PNT!G18</f>
        <v>0</v>
      </c>
    </row>
    <row r="686" spans="2:7" ht="12" customHeight="1">
      <c r="B686" s="676" t="s">
        <v>249</v>
      </c>
      <c r="C686" s="616">
        <f>+PNT!C19</f>
        <v>71.93</v>
      </c>
      <c r="D686" s="616">
        <f>+PNT!D19</f>
        <v>71.93</v>
      </c>
      <c r="E686" s="616">
        <f>+PNT!E19</f>
        <v>71.93</v>
      </c>
      <c r="F686" s="616">
        <f>+PNT!F19</f>
        <v>71.93</v>
      </c>
      <c r="G686" s="648">
        <f>+PNT!G19</f>
        <v>71.93</v>
      </c>
    </row>
    <row r="687" spans="2:7" ht="12" customHeight="1">
      <c r="B687" s="676" t="s">
        <v>1077</v>
      </c>
      <c r="C687" s="616">
        <f>+PNT!C20</f>
        <v>0</v>
      </c>
      <c r="D687" s="616">
        <f>+PNT!D20</f>
        <v>0</v>
      </c>
      <c r="E687" s="616">
        <f>+PNT!E20</f>
        <v>0</v>
      </c>
      <c r="F687" s="616">
        <f>+PNT!F20</f>
        <v>0</v>
      </c>
      <c r="G687" s="648">
        <f>+PNT!G20</f>
        <v>0</v>
      </c>
    </row>
    <row r="688" spans="2:7" ht="12" customHeight="1">
      <c r="B688" s="676" t="s">
        <v>1078</v>
      </c>
      <c r="C688" s="616">
        <f>+PNT!C21</f>
        <v>0</v>
      </c>
      <c r="D688" s="616">
        <f>+PNT!D21</f>
        <v>0</v>
      </c>
      <c r="E688" s="616">
        <f>+PNT!E21</f>
        <v>0</v>
      </c>
      <c r="F688" s="616">
        <f>+PNT!F21</f>
        <v>0</v>
      </c>
      <c r="G688" s="648">
        <f>+PNT!G21</f>
        <v>0</v>
      </c>
    </row>
    <row r="689" spans="2:7" ht="12" customHeight="1">
      <c r="B689" s="676" t="s">
        <v>1079</v>
      </c>
      <c r="C689" s="616">
        <f>+PNT!C22</f>
        <v>71.93</v>
      </c>
      <c r="D689" s="616">
        <f>+PNT!D22</f>
        <v>71.93</v>
      </c>
      <c r="E689" s="616">
        <f>+PNT!E22</f>
        <v>71.93</v>
      </c>
      <c r="F689" s="616">
        <f>+PNT!F22</f>
        <v>71.93</v>
      </c>
      <c r="G689" s="648">
        <f>+PNT!G22</f>
        <v>71.93</v>
      </c>
    </row>
    <row r="690" spans="2:7" ht="12" customHeight="1">
      <c r="B690" s="586"/>
      <c r="C690" s="616">
        <f>+PNT!C23</f>
        <v>0</v>
      </c>
      <c r="D690" s="616">
        <f>+PNT!D23</f>
        <v>0</v>
      </c>
      <c r="E690" s="616">
        <f>+PNT!E23</f>
        <v>0</v>
      </c>
      <c r="F690" s="616">
        <f>+PNT!F23</f>
        <v>0</v>
      </c>
      <c r="G690" s="648">
        <f>+PNT!G23</f>
        <v>0</v>
      </c>
    </row>
    <row r="691" spans="2:7" ht="12" customHeight="1" thickBot="1">
      <c r="B691" s="594" t="s">
        <v>1080</v>
      </c>
      <c r="C691" s="650">
        <f>+PNT!C24</f>
        <v>1318.9257354557446</v>
      </c>
      <c r="D691" s="650">
        <f>+PNT!D24</f>
        <v>5625.3823604980935</v>
      </c>
      <c r="E691" s="650">
        <f>+PNT!E24</f>
        <v>5907.001919729675</v>
      </c>
      <c r="F691" s="650">
        <f>+PNT!F24</f>
        <v>6111.187927081053</v>
      </c>
      <c r="G691" s="651">
        <f>+PNT!G24</f>
        <v>6274.882359759507</v>
      </c>
    </row>
    <row r="692" s="568" customFormat="1" ht="12" customHeight="1" thickTop="1"/>
    <row r="693" ht="12" customHeight="1">
      <c r="B693" s="538" t="s">
        <v>1484</v>
      </c>
    </row>
    <row r="694" ht="12" customHeight="1">
      <c r="B694" s="538" t="s">
        <v>1485</v>
      </c>
    </row>
    <row r="695" ht="12" customHeight="1">
      <c r="B695" s="538" t="s">
        <v>1486</v>
      </c>
    </row>
    <row r="696" ht="12" customHeight="1">
      <c r="B696" s="540"/>
    </row>
    <row r="697" ht="12" customHeight="1">
      <c r="B697" s="549" t="s">
        <v>355</v>
      </c>
    </row>
    <row r="698" ht="12" customHeight="1">
      <c r="B698" s="540"/>
    </row>
    <row r="699" ht="12" customHeight="1">
      <c r="B699" s="538" t="s">
        <v>1487</v>
      </c>
    </row>
    <row r="700" ht="12" customHeight="1">
      <c r="B700" s="539" t="s">
        <v>1488</v>
      </c>
    </row>
    <row r="701" ht="12" customHeight="1">
      <c r="B701" s="539" t="s">
        <v>347</v>
      </c>
    </row>
    <row r="702" ht="12" customHeight="1">
      <c r="B702" s="538" t="s">
        <v>348</v>
      </c>
    </row>
    <row r="703" ht="12" customHeight="1">
      <c r="B703" s="538" t="s">
        <v>349</v>
      </c>
    </row>
    <row r="704" ht="12" customHeight="1">
      <c r="B704" s="538"/>
    </row>
    <row r="705" ht="12" customHeight="1">
      <c r="B705" s="538" t="s">
        <v>350</v>
      </c>
    </row>
    <row r="706" ht="12" customHeight="1">
      <c r="B706" s="538" t="s">
        <v>351</v>
      </c>
    </row>
    <row r="707" ht="12" customHeight="1">
      <c r="B707" s="538" t="s">
        <v>352</v>
      </c>
    </row>
    <row r="708" ht="12" customHeight="1">
      <c r="B708" s="538"/>
    </row>
    <row r="709" ht="12" customHeight="1">
      <c r="B709" s="538" t="s">
        <v>413</v>
      </c>
    </row>
    <row r="710" ht="12" customHeight="1">
      <c r="B710" s="539" t="s">
        <v>414</v>
      </c>
    </row>
    <row r="711" ht="12" customHeight="1">
      <c r="B711" s="539" t="s">
        <v>415</v>
      </c>
    </row>
    <row r="712" ht="12" customHeight="1">
      <c r="B712" s="539" t="s">
        <v>416</v>
      </c>
    </row>
    <row r="713" ht="12" customHeight="1">
      <c r="B713" s="538" t="s">
        <v>27</v>
      </c>
    </row>
    <row r="714" ht="12" customHeight="1">
      <c r="B714" s="538" t="s">
        <v>28</v>
      </c>
    </row>
    <row r="715" ht="12" customHeight="1">
      <c r="B715" s="538" t="s">
        <v>29</v>
      </c>
    </row>
    <row r="717" ht="12" customHeight="1">
      <c r="B717" s="540"/>
    </row>
    <row r="719" ht="12" customHeight="1">
      <c r="B719" s="540"/>
    </row>
    <row r="720" spans="2:3" ht="12" customHeight="1">
      <c r="B720" s="538" t="s">
        <v>1081</v>
      </c>
      <c r="C720" s="401"/>
    </row>
    <row r="721" spans="2:3" ht="12" customHeight="1" thickBot="1">
      <c r="B721" s="601"/>
      <c r="C721" s="401"/>
    </row>
    <row r="722" spans="2:3" ht="12" customHeight="1" thickTop="1">
      <c r="B722" s="677" t="s">
        <v>1441</v>
      </c>
      <c r="C722" s="655" t="s">
        <v>30</v>
      </c>
    </row>
    <row r="723" spans="2:3" ht="12" customHeight="1">
      <c r="B723" s="668"/>
      <c r="C723" s="661"/>
    </row>
    <row r="724" spans="2:3" ht="12" customHeight="1">
      <c r="B724" s="668"/>
      <c r="C724" s="661"/>
    </row>
    <row r="725" spans="2:3" ht="12" customHeight="1">
      <c r="B725" s="659" t="s">
        <v>171</v>
      </c>
      <c r="C725" s="670">
        <f>+PNT!C32</f>
        <v>6274.882359759507</v>
      </c>
    </row>
    <row r="726" spans="2:3" ht="12" customHeight="1">
      <c r="B726" s="659" t="s">
        <v>97</v>
      </c>
      <c r="C726" s="661" t="s">
        <v>1082</v>
      </c>
    </row>
    <row r="727" spans="2:3" ht="12" customHeight="1">
      <c r="B727" s="659" t="s">
        <v>172</v>
      </c>
      <c r="C727" s="678">
        <f>+PNT!C34</f>
        <v>1.02</v>
      </c>
    </row>
    <row r="728" spans="2:3" ht="12" customHeight="1" thickBot="1">
      <c r="B728" s="662" t="s">
        <v>173</v>
      </c>
      <c r="C728" s="672">
        <f>+PNT!C35</f>
        <v>6400.380006954698</v>
      </c>
    </row>
    <row r="729" spans="2:3" ht="12" customHeight="1" thickTop="1">
      <c r="B729" s="601"/>
      <c r="C729" s="401"/>
    </row>
    <row r="731" ht="12" customHeight="1">
      <c r="B731" s="540"/>
    </row>
    <row r="732" ht="12" customHeight="1">
      <c r="B732" s="537" t="s">
        <v>356</v>
      </c>
    </row>
    <row r="733" ht="12" customHeight="1">
      <c r="B733" s="540"/>
    </row>
    <row r="734" ht="12" customHeight="1">
      <c r="B734" s="549" t="s">
        <v>1083</v>
      </c>
    </row>
    <row r="735" ht="12" customHeight="1">
      <c r="B735" s="540"/>
    </row>
    <row r="736" ht="12" customHeight="1">
      <c r="B736" s="538" t="s">
        <v>31</v>
      </c>
    </row>
    <row r="737" ht="12" customHeight="1">
      <c r="B737" s="538" t="s">
        <v>32</v>
      </c>
    </row>
    <row r="739" spans="2:8" ht="12" customHeight="1" thickBot="1">
      <c r="B739" s="601" t="s">
        <v>1084</v>
      </c>
      <c r="C739" s="401"/>
      <c r="D739" s="401"/>
      <c r="E739" s="401"/>
      <c r="F739" s="401"/>
      <c r="G739" s="401"/>
      <c r="H739" s="401"/>
    </row>
    <row r="740" spans="2:8" ht="12" customHeight="1" thickTop="1">
      <c r="B740" s="677" t="s">
        <v>1441</v>
      </c>
      <c r="C740" s="666" t="s">
        <v>253</v>
      </c>
      <c r="D740" s="666"/>
      <c r="E740" s="666" t="s">
        <v>1453</v>
      </c>
      <c r="F740" s="666"/>
      <c r="G740" s="666"/>
      <c r="H740" s="655"/>
    </row>
    <row r="741" spans="2:8" ht="12" customHeight="1">
      <c r="B741" s="679"/>
      <c r="C741" s="667" t="s">
        <v>1429</v>
      </c>
      <c r="D741" s="667">
        <v>2003</v>
      </c>
      <c r="E741" s="667">
        <f>+D741+1</f>
        <v>2004</v>
      </c>
      <c r="F741" s="667">
        <f>+E741+1</f>
        <v>2005</v>
      </c>
      <c r="G741" s="667">
        <f>+F741+1</f>
        <v>2006</v>
      </c>
      <c r="H741" s="667">
        <f>+G741+1</f>
        <v>2007</v>
      </c>
    </row>
    <row r="742" spans="2:8" ht="12" customHeight="1">
      <c r="B742" s="668"/>
      <c r="C742" s="660"/>
      <c r="D742" s="660"/>
      <c r="E742" s="660"/>
      <c r="F742" s="660"/>
      <c r="G742" s="660"/>
      <c r="H742" s="661"/>
    </row>
    <row r="743" spans="2:8" ht="12" customHeight="1">
      <c r="B743" s="659" t="s">
        <v>1329</v>
      </c>
      <c r="C743" s="669">
        <f>+'PB stanja'!C6</f>
        <v>20877</v>
      </c>
      <c r="D743" s="669">
        <f>+'PB stanja'!D6</f>
        <v>14868.843944844419</v>
      </c>
      <c r="E743" s="669">
        <f>+'PB stanja'!E6</f>
        <v>15141.473037608612</v>
      </c>
      <c r="F743" s="669">
        <f>+'PB stanja'!F6</f>
        <v>15323.020160021395</v>
      </c>
      <c r="G743" s="669">
        <f>+'PB stanja'!G6</f>
        <v>15506.957758937333</v>
      </c>
      <c r="H743" s="670">
        <f>+'PB stanja'!H6</f>
        <v>15693.568618785454</v>
      </c>
    </row>
    <row r="744" spans="2:8" ht="12" customHeight="1">
      <c r="B744" s="659" t="s">
        <v>1335</v>
      </c>
      <c r="C744" s="669">
        <f>+'PB stanja'!C7</f>
        <v>319</v>
      </c>
      <c r="D744" s="669">
        <f>+'PB stanja'!D7</f>
        <v>774.0075734180614</v>
      </c>
      <c r="E744" s="669">
        <f>+'PB stanja'!E7</f>
        <v>782.4914035778816</v>
      </c>
      <c r="F744" s="669">
        <f>+'PB stanja'!F7</f>
        <v>787.0179349008018</v>
      </c>
      <c r="G744" s="669">
        <f>+'PB stanja'!G7</f>
        <v>791.5547916383734</v>
      </c>
      <c r="H744" s="670">
        <f>+'PB stanja'!H7</f>
        <v>796.2526772846845</v>
      </c>
    </row>
    <row r="745" spans="2:8" ht="12" customHeight="1">
      <c r="B745" s="659" t="s">
        <v>174</v>
      </c>
      <c r="C745" s="669">
        <f>+'PB stanja'!C8</f>
        <v>0</v>
      </c>
      <c r="D745" s="669">
        <f>+'PB stanja'!D8</f>
        <v>774.0075734180614</v>
      </c>
      <c r="E745" s="669">
        <f>+'PB stanja'!E8</f>
        <v>782.4914035778816</v>
      </c>
      <c r="F745" s="669">
        <f>+'PB stanja'!F8</f>
        <v>787.0179349008018</v>
      </c>
      <c r="G745" s="669">
        <f>+'PB stanja'!G8</f>
        <v>791.5547916383734</v>
      </c>
      <c r="H745" s="670">
        <f>+'PB stanja'!H8</f>
        <v>796.2526772846845</v>
      </c>
    </row>
    <row r="746" spans="2:8" ht="12" customHeight="1">
      <c r="B746" s="659" t="s">
        <v>82</v>
      </c>
      <c r="C746" s="669">
        <f>+'PB stanja'!C9</f>
        <v>16330</v>
      </c>
      <c r="D746" s="669">
        <f>+'PB stanja'!D9</f>
        <v>8928.48075</v>
      </c>
      <c r="E746" s="669">
        <f>+'PB stanja'!E9</f>
        <v>9107.050365000001</v>
      </c>
      <c r="F746" s="669">
        <f>+'PB stanja'!F9</f>
        <v>9228.477703200002</v>
      </c>
      <c r="G746" s="669">
        <f>+'PB stanja'!G9</f>
        <v>9351.524072576003</v>
      </c>
      <c r="H746" s="670">
        <f>+'PB stanja'!H9</f>
        <v>9476.211060210351</v>
      </c>
    </row>
    <row r="747" spans="2:8" ht="12" customHeight="1">
      <c r="B747" s="659" t="s">
        <v>176</v>
      </c>
      <c r="C747" s="669">
        <f>+'PB stanja'!C10</f>
        <v>16330</v>
      </c>
      <c r="D747" s="669">
        <f>+'PB stanja'!D10</f>
        <v>8928.48075</v>
      </c>
      <c r="E747" s="669">
        <f>+'PB stanja'!E10</f>
        <v>9107.050365000001</v>
      </c>
      <c r="F747" s="669">
        <f>+'PB stanja'!F10</f>
        <v>9228.477703200002</v>
      </c>
      <c r="G747" s="669">
        <f>+'PB stanja'!G10</f>
        <v>9351.524072576003</v>
      </c>
      <c r="H747" s="670">
        <f>+'PB stanja'!H10</f>
        <v>9476.211060210351</v>
      </c>
    </row>
    <row r="748" spans="2:8" ht="12" customHeight="1">
      <c r="B748" s="659" t="s">
        <v>177</v>
      </c>
      <c r="C748" s="669">
        <f>+'PB stanja'!C11</f>
        <v>0</v>
      </c>
      <c r="D748" s="669">
        <f>+'PB stanja'!D11</f>
        <v>0</v>
      </c>
      <c r="E748" s="669">
        <f>+'PB stanja'!E11</f>
        <v>0</v>
      </c>
      <c r="F748" s="669">
        <f>+'PB stanja'!F11</f>
        <v>0</v>
      </c>
      <c r="G748" s="669">
        <f>+'PB stanja'!G11</f>
        <v>0</v>
      </c>
      <c r="H748" s="670">
        <f>+'PB stanja'!H11</f>
        <v>0</v>
      </c>
    </row>
    <row r="749" spans="2:8" ht="12" customHeight="1">
      <c r="B749" s="659" t="s">
        <v>1330</v>
      </c>
      <c r="C749" s="669">
        <f>+'PB stanja'!C12</f>
        <v>4228</v>
      </c>
      <c r="D749" s="669">
        <f>+'PB stanja'!D12</f>
        <v>5166.355621426358</v>
      </c>
      <c r="E749" s="669">
        <f>+'PB stanja'!E12</f>
        <v>5251.931269030728</v>
      </c>
      <c r="F749" s="669">
        <f>+'PB stanja'!F12</f>
        <v>5307.524521920593</v>
      </c>
      <c r="G749" s="669">
        <f>+'PB stanja'!G12</f>
        <v>5363.878894722956</v>
      </c>
      <c r="H749" s="670">
        <f>+'PB stanja'!H12</f>
        <v>5421.104881290417</v>
      </c>
    </row>
    <row r="750" spans="2:8" ht="12" customHeight="1">
      <c r="B750" s="659" t="s">
        <v>280</v>
      </c>
      <c r="C750" s="669">
        <f>+'PB stanja'!C13</f>
        <v>4228</v>
      </c>
      <c r="D750" s="669">
        <f>+'PB stanja'!D13</f>
        <v>3790.9031982480433</v>
      </c>
      <c r="E750" s="669">
        <f>+'PB stanja'!E13</f>
        <v>3859.9769455630044</v>
      </c>
      <c r="F750" s="669">
        <f>+'PB stanja'!F13</f>
        <v>3906.9524270705115</v>
      </c>
      <c r="G750" s="669">
        <f>+'PB stanja'!G13</f>
        <v>3954.5540261092297</v>
      </c>
      <c r="H750" s="670">
        <f>+'PB stanja'!H13</f>
        <v>4002.790090912909</v>
      </c>
    </row>
    <row r="751" spans="2:8" ht="12" customHeight="1">
      <c r="B751" s="659" t="s">
        <v>178</v>
      </c>
      <c r="C751" s="669">
        <f>+'PB stanja'!C14</f>
        <v>0</v>
      </c>
      <c r="D751" s="669">
        <f>+'PB stanja'!D14</f>
        <v>859.4473742329404</v>
      </c>
      <c r="E751" s="669">
        <f>+'PB stanja'!E14</f>
        <v>870.2933877491354</v>
      </c>
      <c r="F751" s="669">
        <f>+'PB stanja'!F14</f>
        <v>875.8934715828805</v>
      </c>
      <c r="G751" s="669">
        <f>+'PB stanja'!G14</f>
        <v>881.6216741881443</v>
      </c>
      <c r="H751" s="670">
        <f>+'PB stanja'!H14</f>
        <v>887.4796721877187</v>
      </c>
    </row>
    <row r="752" spans="2:8" ht="12" customHeight="1">
      <c r="B752" s="659" t="s">
        <v>281</v>
      </c>
      <c r="C752" s="669">
        <f>+'PB stanja'!C15</f>
        <v>0</v>
      </c>
      <c r="D752" s="669">
        <f>+'PB stanja'!D15</f>
        <v>516.0050489453743</v>
      </c>
      <c r="E752" s="669">
        <f>+'PB stanja'!E15</f>
        <v>521.6609357185877</v>
      </c>
      <c r="F752" s="669">
        <f>+'PB stanja'!F15</f>
        <v>524.6786232672013</v>
      </c>
      <c r="G752" s="669">
        <f>+'PB stanja'!G15</f>
        <v>527.7031944255823</v>
      </c>
      <c r="H752" s="670">
        <f>+'PB stanja'!H15</f>
        <v>530.8351181897897</v>
      </c>
    </row>
    <row r="753" spans="2:8" ht="12" customHeight="1">
      <c r="B753" s="659" t="s">
        <v>85</v>
      </c>
      <c r="C753" s="669">
        <f>+'PB stanja'!C16</f>
        <v>0</v>
      </c>
      <c r="D753" s="669">
        <f>+'PB stanja'!D16</f>
        <v>0</v>
      </c>
      <c r="E753" s="669">
        <f>+'PB stanja'!E16</f>
        <v>0</v>
      </c>
      <c r="F753" s="669">
        <f>+'PB stanja'!F16</f>
        <v>0</v>
      </c>
      <c r="G753" s="669">
        <f>+'PB stanja'!G16</f>
        <v>0</v>
      </c>
      <c r="H753" s="670">
        <f>+'PB stanja'!H16</f>
        <v>0</v>
      </c>
    </row>
    <row r="754" spans="2:8" ht="12" customHeight="1">
      <c r="B754" s="659" t="s">
        <v>1331</v>
      </c>
      <c r="C754" s="669">
        <f>+'PB stanja'!C17</f>
        <v>46224</v>
      </c>
      <c r="D754" s="669">
        <f>+'PB stanja'!D17</f>
        <v>46224.00000000003</v>
      </c>
      <c r="E754" s="669">
        <f>+'PB stanja'!E17</f>
        <v>46224</v>
      </c>
      <c r="F754" s="669">
        <f>+'PB stanja'!F17</f>
        <v>46224.00000000003</v>
      </c>
      <c r="G754" s="669">
        <f>+'PB stanja'!G17</f>
        <v>46224</v>
      </c>
      <c r="H754" s="670">
        <f>+'PB stanja'!H17</f>
        <v>46224</v>
      </c>
    </row>
    <row r="755" spans="2:8" ht="12" customHeight="1">
      <c r="B755" s="659" t="s">
        <v>1385</v>
      </c>
      <c r="C755" s="669">
        <f>+'PB stanja'!C18</f>
        <v>0</v>
      </c>
      <c r="D755" s="669">
        <f>+'PB stanja'!D18</f>
        <v>0</v>
      </c>
      <c r="E755" s="669">
        <f>+'PB stanja'!E18</f>
        <v>0</v>
      </c>
      <c r="F755" s="669">
        <f>+'PB stanja'!F18</f>
        <v>0</v>
      </c>
      <c r="G755" s="669">
        <f>+'PB stanja'!G18</f>
        <v>0</v>
      </c>
      <c r="H755" s="670">
        <f>+'PB stanja'!H18</f>
        <v>0</v>
      </c>
    </row>
    <row r="756" spans="2:8" ht="12" customHeight="1">
      <c r="B756" s="659" t="s">
        <v>1332</v>
      </c>
      <c r="C756" s="669">
        <f>+'PB stanja'!C19</f>
        <v>39031</v>
      </c>
      <c r="D756" s="669">
        <f>+'PB stanja'!D19</f>
        <v>39031.00000000003</v>
      </c>
      <c r="E756" s="669">
        <f>+'PB stanja'!E19</f>
        <v>39031</v>
      </c>
      <c r="F756" s="669">
        <f>+'PB stanja'!F19</f>
        <v>39031.00000000003</v>
      </c>
      <c r="G756" s="669">
        <f>+'PB stanja'!G19</f>
        <v>39031</v>
      </c>
      <c r="H756" s="670">
        <f>+'PB stanja'!H19</f>
        <v>39031</v>
      </c>
    </row>
    <row r="757" spans="2:8" ht="12" customHeight="1">
      <c r="B757" s="659" t="s">
        <v>1338</v>
      </c>
      <c r="C757" s="669">
        <f>+'PB stanja'!C20</f>
        <v>155983</v>
      </c>
      <c r="D757" s="669">
        <f>+'PB stanja'!D20</f>
        <v>164849.95751832268</v>
      </c>
      <c r="E757" s="669">
        <f>+'PB stanja'!E20</f>
        <v>174330.902834011</v>
      </c>
      <c r="F757" s="669">
        <f>+'PB stanja'!F20</f>
        <v>184468.66045108385</v>
      </c>
      <c r="G757" s="669">
        <f>+'PB stanja'!G20</f>
        <v>195309.04416093894</v>
      </c>
      <c r="H757" s="670">
        <f>+'PB stanja'!H20</f>
        <v>206901.06572202637</v>
      </c>
    </row>
    <row r="758" spans="2:8" ht="12" customHeight="1">
      <c r="B758" s="659" t="s">
        <v>1339</v>
      </c>
      <c r="C758" s="669">
        <f>+'PB stanja'!C21</f>
        <v>116952</v>
      </c>
      <c r="D758" s="669">
        <f>+'PB stanja'!D21</f>
        <v>125818.95751832266</v>
      </c>
      <c r="E758" s="669">
        <f>+'PB stanja'!E21</f>
        <v>135299.902834011</v>
      </c>
      <c r="F758" s="669">
        <f>+'PB stanja'!F21</f>
        <v>145437.66045108382</v>
      </c>
      <c r="G758" s="669">
        <f>+'PB stanja'!G21</f>
        <v>156278.04416093894</v>
      </c>
      <c r="H758" s="670">
        <f>+'PB stanja'!H21</f>
        <v>167870.06572202637</v>
      </c>
    </row>
    <row r="759" spans="2:8" ht="12" customHeight="1">
      <c r="B759" s="659" t="s">
        <v>179</v>
      </c>
      <c r="C759" s="669">
        <f>+'PB stanja'!C22</f>
        <v>7193</v>
      </c>
      <c r="D759" s="669">
        <f>+'PB stanja'!D22</f>
        <v>7193</v>
      </c>
      <c r="E759" s="669">
        <f>+'PB stanja'!E22</f>
        <v>7193</v>
      </c>
      <c r="F759" s="669">
        <f>+'PB stanja'!F22</f>
        <v>7193</v>
      </c>
      <c r="G759" s="669">
        <f>+'PB stanja'!G22</f>
        <v>7193</v>
      </c>
      <c r="H759" s="670">
        <f>+'PB stanja'!H22</f>
        <v>7193</v>
      </c>
    </row>
    <row r="760" spans="2:8" ht="12" customHeight="1">
      <c r="B760" s="659" t="s">
        <v>250</v>
      </c>
      <c r="C760" s="669">
        <f>+'PB stanja'!C23</f>
        <v>67101</v>
      </c>
      <c r="D760" s="669">
        <f>+'PB stanja'!D23</f>
        <v>61092.84394484445</v>
      </c>
      <c r="E760" s="669">
        <f>+'PB stanja'!E23</f>
        <v>61365.47303760861</v>
      </c>
      <c r="F760" s="669">
        <f>+'PB stanja'!F23</f>
        <v>61547.02016002142</v>
      </c>
      <c r="G760" s="669">
        <f>+'PB stanja'!G23</f>
        <v>61730.95775893734</v>
      </c>
      <c r="H760" s="670">
        <f>+'PB stanja'!H23</f>
        <v>61917.56861878545</v>
      </c>
    </row>
    <row r="761" spans="2:8" ht="12" customHeight="1">
      <c r="B761" s="659" t="s">
        <v>251</v>
      </c>
      <c r="C761" s="669">
        <f>+'PB stanja'!C24</f>
        <v>0</v>
      </c>
      <c r="D761" s="669">
        <f>+'PB stanja'!D24</f>
        <v>1318.9257354557446</v>
      </c>
      <c r="E761" s="669">
        <f>+'PB stanja'!E24</f>
        <v>6944.308095953838</v>
      </c>
      <c r="F761" s="669">
        <f>+'PB stanja'!F24</f>
        <v>12851.310015683513</v>
      </c>
      <c r="G761" s="669">
        <f>+'PB stanja'!G24</f>
        <v>18962.497942764567</v>
      </c>
      <c r="H761" s="670">
        <f>+'PB stanja'!H24</f>
        <v>25237.380302524074</v>
      </c>
    </row>
    <row r="762" spans="2:8" ht="12" customHeight="1">
      <c r="B762" s="659" t="s">
        <v>329</v>
      </c>
      <c r="C762" s="669">
        <f>+'PB stanja'!C25</f>
        <v>0</v>
      </c>
      <c r="D762" s="669">
        <f>+'PB stanja'!D25</f>
        <v>1318.9257354557446</v>
      </c>
      <c r="E762" s="669">
        <f>+'PB stanja'!E25</f>
        <v>6944.308095953838</v>
      </c>
      <c r="F762" s="669">
        <f>+'PB stanja'!F25</f>
        <v>12851.310015683513</v>
      </c>
      <c r="G762" s="669">
        <f>+'PB stanja'!G25</f>
        <v>18962.497942764567</v>
      </c>
      <c r="H762" s="670">
        <f>+'PB stanja'!H25</f>
        <v>25237.380302524074</v>
      </c>
    </row>
    <row r="763" spans="2:8" ht="12" customHeight="1">
      <c r="B763" s="659" t="s">
        <v>330</v>
      </c>
      <c r="C763" s="669">
        <f>+'PB stanja'!C26</f>
        <v>0</v>
      </c>
      <c r="D763" s="669">
        <f>+'PB stanja'!D26</f>
        <v>0</v>
      </c>
      <c r="E763" s="669">
        <f>+'PB stanja'!E26</f>
        <v>0</v>
      </c>
      <c r="F763" s="669">
        <f>+'PB stanja'!F26</f>
        <v>0</v>
      </c>
      <c r="G763" s="669">
        <f>+'PB stanja'!G26</f>
        <v>0</v>
      </c>
      <c r="H763" s="670">
        <f>+'PB stanja'!H26</f>
        <v>0</v>
      </c>
    </row>
    <row r="764" spans="2:8" ht="12" customHeight="1">
      <c r="B764" s="668"/>
      <c r="C764" s="669">
        <f>+'PB stanja'!C27</f>
        <v>0</v>
      </c>
      <c r="D764" s="669">
        <f>+'PB stanja'!D27</f>
        <v>0</v>
      </c>
      <c r="E764" s="669">
        <f>+'PB stanja'!E27</f>
        <v>0</v>
      </c>
      <c r="F764" s="669">
        <f>+'PB stanja'!F27</f>
        <v>0</v>
      </c>
      <c r="G764" s="669">
        <f>+'PB stanja'!G27</f>
        <v>0</v>
      </c>
      <c r="H764" s="670">
        <f>+'PB stanja'!H27</f>
        <v>0</v>
      </c>
    </row>
    <row r="765" spans="2:8" ht="12" customHeight="1">
      <c r="B765" s="659" t="s">
        <v>1333</v>
      </c>
      <c r="C765" s="669">
        <f>+'PB stanja'!C28</f>
        <v>67101</v>
      </c>
      <c r="D765" s="669">
        <f>+'PB stanja'!D28</f>
        <v>62411.76968030019</v>
      </c>
      <c r="E765" s="669">
        <f>+'PB stanja'!E28</f>
        <v>68309.78113356244</v>
      </c>
      <c r="F765" s="669">
        <f>+'PB stanja'!F28</f>
        <v>74398.33017570493</v>
      </c>
      <c r="G765" s="669">
        <f>+'PB stanja'!G28</f>
        <v>80693.4557017019</v>
      </c>
      <c r="H765" s="670">
        <f>+'PB stanja'!H28</f>
        <v>87154.94892130952</v>
      </c>
    </row>
    <row r="766" spans="2:8" ht="12" customHeight="1">
      <c r="B766" s="659" t="s">
        <v>332</v>
      </c>
      <c r="C766" s="669">
        <f>+'PB stanja'!C29</f>
        <v>0</v>
      </c>
      <c r="D766" s="669">
        <f>+'PB stanja'!D29</f>
        <v>0</v>
      </c>
      <c r="E766" s="669">
        <f>+'PB stanja'!E29</f>
        <v>0</v>
      </c>
      <c r="F766" s="669">
        <f>+'PB stanja'!F29</f>
        <v>0</v>
      </c>
      <c r="G766" s="669">
        <f>+'PB stanja'!G29</f>
        <v>0</v>
      </c>
      <c r="H766" s="670">
        <f>+'PB stanja'!H29</f>
        <v>0</v>
      </c>
    </row>
    <row r="767" spans="2:8" ht="12" customHeight="1" thickBot="1">
      <c r="B767" s="662" t="s">
        <v>1334</v>
      </c>
      <c r="C767" s="671">
        <f>+'PB stanja'!C30</f>
        <v>67101</v>
      </c>
      <c r="D767" s="671">
        <f>+'PB stanja'!D30</f>
        <v>62411.76968030019</v>
      </c>
      <c r="E767" s="671">
        <f>+'PB stanja'!E30</f>
        <v>68309.78113356244</v>
      </c>
      <c r="F767" s="671">
        <f>+'PB stanja'!F30</f>
        <v>74398.33017570493</v>
      </c>
      <c r="G767" s="671">
        <f>+'PB stanja'!G30</f>
        <v>80693.4557017019</v>
      </c>
      <c r="H767" s="672">
        <f>+'PB stanja'!H30</f>
        <v>87154.94892130952</v>
      </c>
    </row>
    <row r="768" spans="2:8" ht="12" customHeight="1" thickTop="1">
      <c r="B768" s="601"/>
      <c r="C768" s="401"/>
      <c r="D768" s="401"/>
      <c r="E768" s="401"/>
      <c r="F768" s="401"/>
      <c r="G768" s="401"/>
      <c r="H768" s="401"/>
    </row>
    <row r="769" ht="12" customHeight="1">
      <c r="B769" s="578"/>
    </row>
    <row r="770" ht="12" customHeight="1">
      <c r="B770" s="578" t="s">
        <v>1089</v>
      </c>
    </row>
    <row r="771" ht="12" customHeight="1" thickBot="1">
      <c r="B771" s="613" t="s">
        <v>1280</v>
      </c>
    </row>
    <row r="772" spans="2:8" ht="12" customHeight="1" thickTop="1">
      <c r="B772" s="677" t="s">
        <v>1441</v>
      </c>
      <c r="C772" s="666" t="s">
        <v>253</v>
      </c>
      <c r="D772" s="666" t="s">
        <v>1453</v>
      </c>
      <c r="E772" s="666"/>
      <c r="F772" s="666"/>
      <c r="G772" s="666"/>
      <c r="H772" s="655"/>
    </row>
    <row r="773" spans="2:8" ht="12" customHeight="1">
      <c r="B773" s="679"/>
      <c r="C773" s="667" t="s">
        <v>1429</v>
      </c>
      <c r="D773" s="667" t="s">
        <v>1281</v>
      </c>
      <c r="E773" s="667" t="s">
        <v>1282</v>
      </c>
      <c r="F773" s="667" t="s">
        <v>1283</v>
      </c>
      <c r="G773" s="667" t="s">
        <v>1284</v>
      </c>
      <c r="H773" s="658" t="s">
        <v>1285</v>
      </c>
    </row>
    <row r="774" spans="2:8" ht="12" customHeight="1">
      <c r="B774" s="659" t="s">
        <v>1341</v>
      </c>
      <c r="C774" s="669">
        <f>+'PB stanja'!C34</f>
        <v>17790</v>
      </c>
      <c r="D774" s="669">
        <f>+'PB stanja'!D34</f>
        <v>7740.075734180614</v>
      </c>
      <c r="E774" s="669">
        <f>+'PB stanja'!E34</f>
        <v>7824.914035778814</v>
      </c>
      <c r="F774" s="669">
        <f>+'PB stanja'!F34</f>
        <v>7870.179349008019</v>
      </c>
      <c r="G774" s="669">
        <f>+'PB stanja'!G34</f>
        <v>7915.547916383735</v>
      </c>
      <c r="H774" s="669">
        <f>+'PB stanja'!H34</f>
        <v>7962.526772846845</v>
      </c>
    </row>
    <row r="775" spans="2:8" ht="12" customHeight="1">
      <c r="B775" s="659" t="s">
        <v>74</v>
      </c>
      <c r="C775" s="669">
        <f>+'PB stanja'!C35</f>
        <v>17790</v>
      </c>
      <c r="D775" s="669">
        <f>+'PB stanja'!D35</f>
        <v>7740.075734180614</v>
      </c>
      <c r="E775" s="669">
        <f>+'PB stanja'!E35</f>
        <v>7824.914035778814</v>
      </c>
      <c r="F775" s="669">
        <f>+'PB stanja'!F35</f>
        <v>7870.179349008019</v>
      </c>
      <c r="G775" s="669">
        <f>+'PB stanja'!G35</f>
        <v>7915.547916383735</v>
      </c>
      <c r="H775" s="669">
        <f>+'PB stanja'!H35</f>
        <v>7962.526772846845</v>
      </c>
    </row>
    <row r="776" spans="2:8" ht="12" customHeight="1">
      <c r="B776" s="659" t="s">
        <v>180</v>
      </c>
      <c r="C776" s="669">
        <f>+'PB stanja'!C36</f>
        <v>0</v>
      </c>
      <c r="D776" s="669">
        <f>+'PB stanja'!D36</f>
        <v>0</v>
      </c>
      <c r="E776" s="669">
        <f>+'PB stanja'!E36</f>
        <v>0</v>
      </c>
      <c r="F776" s="669">
        <f>+'PB stanja'!F36</f>
        <v>0</v>
      </c>
      <c r="G776" s="669">
        <f>+'PB stanja'!G36</f>
        <v>0</v>
      </c>
      <c r="H776" s="669">
        <f>+'PB stanja'!H36</f>
        <v>0</v>
      </c>
    </row>
    <row r="777" spans="2:8" ht="12" customHeight="1">
      <c r="B777" s="659" t="s">
        <v>1090</v>
      </c>
      <c r="C777" s="669">
        <f>+'PB stanja'!C37</f>
        <v>9762</v>
      </c>
      <c r="D777" s="669">
        <f>+'PB stanja'!D37</f>
        <v>4429.3688567470535</v>
      </c>
      <c r="E777" s="669">
        <f>+'PB stanja'!E37</f>
        <v>4511.520552698515</v>
      </c>
      <c r="F777" s="669">
        <f>+'PB stanja'!F37</f>
        <v>4567.4965617825155</v>
      </c>
      <c r="G777" s="669">
        <f>+'PB stanja'!G37</f>
        <v>4624.336565682612</v>
      </c>
      <c r="H777" s="669">
        <f>+'PB stanja'!H37</f>
        <v>4682.053810881804</v>
      </c>
    </row>
    <row r="778" spans="2:8" ht="12" customHeight="1">
      <c r="B778" s="659" t="s">
        <v>282</v>
      </c>
      <c r="C778" s="669">
        <f>+'PB stanja'!C38</f>
        <v>1891</v>
      </c>
      <c r="D778" s="669">
        <f>+'PB stanja'!D38</f>
        <v>2016.4864499999996</v>
      </c>
      <c r="E778" s="669">
        <f>+'PB stanja'!E38</f>
        <v>2015.6798554199997</v>
      </c>
      <c r="F778" s="669">
        <f>+'PB stanja'!F38</f>
        <v>2001.7044750890882</v>
      </c>
      <c r="G778" s="669">
        <f>+'PB stanja'!G38</f>
        <v>1987.8259907284707</v>
      </c>
      <c r="H778" s="669">
        <f>+'PB stanja'!H38</f>
        <v>1974.0437305260866</v>
      </c>
    </row>
    <row r="779" spans="2:8" ht="12" customHeight="1">
      <c r="B779" s="659" t="s">
        <v>1287</v>
      </c>
      <c r="C779" s="669">
        <f>+'PB stanja'!C39</f>
        <v>6137</v>
      </c>
      <c r="D779" s="669">
        <f>+'PB stanja'!D39</f>
        <v>1294.220427433561</v>
      </c>
      <c r="E779" s="669">
        <f>+'PB stanja'!E39</f>
        <v>1297.7136276602998</v>
      </c>
      <c r="F779" s="669">
        <f>+'PB stanja'!F39</f>
        <v>1300.978312136415</v>
      </c>
      <c r="G779" s="669">
        <f>+'PB stanja'!G39</f>
        <v>1303.3853599726529</v>
      </c>
      <c r="H779" s="669">
        <f>+'PB stanja'!H39</f>
        <v>1306.429231438955</v>
      </c>
    </row>
    <row r="780" spans="2:8" ht="12" customHeight="1">
      <c r="B780" s="659" t="s">
        <v>1288</v>
      </c>
      <c r="C780" s="669">
        <f>+'PB stanja'!C40</f>
        <v>0</v>
      </c>
      <c r="D780" s="669">
        <f>+'PB stanja'!D40</f>
        <v>0</v>
      </c>
      <c r="E780" s="669">
        <f>+'PB stanja'!E40</f>
        <v>0</v>
      </c>
      <c r="F780" s="669">
        <f>+'PB stanja'!F40</f>
        <v>0</v>
      </c>
      <c r="G780" s="669">
        <f>+'PB stanja'!G40</f>
        <v>0</v>
      </c>
      <c r="H780" s="669">
        <f>+'PB stanja'!H40</f>
        <v>0</v>
      </c>
    </row>
    <row r="781" spans="2:8" ht="12" customHeight="1">
      <c r="B781" s="659" t="s">
        <v>79</v>
      </c>
      <c r="C781" s="669">
        <f>+'PB stanja'!C41</f>
        <v>0</v>
      </c>
      <c r="D781" s="669">
        <f>+'PB stanja'!D41</f>
        <v>0</v>
      </c>
      <c r="E781" s="669">
        <f>+'PB stanja'!E41</f>
        <v>0</v>
      </c>
      <c r="F781" s="669">
        <f>+'PB stanja'!F41</f>
        <v>0</v>
      </c>
      <c r="G781" s="669">
        <f>+'PB stanja'!G41</f>
        <v>0</v>
      </c>
      <c r="H781" s="669">
        <f>+'PB stanja'!H41</f>
        <v>0</v>
      </c>
    </row>
    <row r="782" spans="2:8" ht="12" customHeight="1">
      <c r="B782" s="659" t="s">
        <v>1093</v>
      </c>
      <c r="C782" s="669">
        <f>+'PB stanja'!C42</f>
        <v>0</v>
      </c>
      <c r="D782" s="669">
        <f>+'PB stanja'!D42</f>
        <v>0</v>
      </c>
      <c r="E782" s="669">
        <f>+'PB stanja'!E42</f>
        <v>0</v>
      </c>
      <c r="F782" s="669">
        <f>+'PB stanja'!F42</f>
        <v>0</v>
      </c>
      <c r="G782" s="669">
        <f>+'PB stanja'!G42</f>
        <v>0</v>
      </c>
      <c r="H782" s="669">
        <f>+'PB stanja'!H42</f>
        <v>0</v>
      </c>
    </row>
    <row r="783" spans="2:8" ht="12" customHeight="1">
      <c r="B783" s="659" t="s">
        <v>1343</v>
      </c>
      <c r="C783" s="669">
        <f>+'PB stanja'!C43</f>
        <v>76288</v>
      </c>
      <c r="D783" s="669">
        <f>+'PB stanja'!D43</f>
        <v>81648.69394611954</v>
      </c>
      <c r="E783" s="669">
        <f>+'PB stanja'!E43</f>
        <v>87461.8670977836</v>
      </c>
      <c r="F783" s="669">
        <f>+'PB stanja'!F43</f>
        <v>93505.15082669687</v>
      </c>
      <c r="G783" s="669">
        <f>+'PB stanja'!G43</f>
        <v>99754.90778531814</v>
      </c>
      <c r="H783" s="669">
        <f>+'PB stanja'!H43</f>
        <v>106169.42214846265</v>
      </c>
    </row>
    <row r="784" spans="2:8" ht="12" customHeight="1">
      <c r="B784" s="659" t="s">
        <v>1344</v>
      </c>
      <c r="C784" s="669">
        <f>+'PB stanja'!C44</f>
        <v>48619</v>
      </c>
      <c r="D784" s="669">
        <f>+'PB stanja'!D44</f>
        <v>48619</v>
      </c>
      <c r="E784" s="669">
        <f>+'PB stanja'!E44</f>
        <v>48619</v>
      </c>
      <c r="F784" s="669">
        <f>+'PB stanja'!F44</f>
        <v>48619</v>
      </c>
      <c r="G784" s="669">
        <f>+'PB stanja'!G44</f>
        <v>48619</v>
      </c>
      <c r="H784" s="669">
        <f>+'PB stanja'!H44</f>
        <v>48619</v>
      </c>
    </row>
    <row r="785" spans="2:8" ht="12" customHeight="1">
      <c r="B785" s="659" t="s">
        <v>1345</v>
      </c>
      <c r="C785" s="669">
        <f>+'PB stanja'!C45</f>
        <v>0</v>
      </c>
      <c r="D785" s="669">
        <f>+'PB stanja'!D45</f>
        <v>0</v>
      </c>
      <c r="E785" s="669">
        <f>+'PB stanja'!E45</f>
        <v>0</v>
      </c>
      <c r="F785" s="669">
        <f>+'PB stanja'!F45</f>
        <v>0</v>
      </c>
      <c r="G785" s="669">
        <f>+'PB stanja'!G45</f>
        <v>0</v>
      </c>
      <c r="H785" s="669">
        <f>+'PB stanja'!H45</f>
        <v>0</v>
      </c>
    </row>
    <row r="786" spans="2:8" ht="12" customHeight="1">
      <c r="B786" s="659" t="s">
        <v>331</v>
      </c>
      <c r="C786" s="669">
        <f>+'PB stanja'!C46</f>
        <v>27669</v>
      </c>
      <c r="D786" s="669">
        <f>+'PB stanja'!D46</f>
        <v>33029.69394611955</v>
      </c>
      <c r="E786" s="669">
        <f>+'PB stanja'!E46</f>
        <v>38842.8670977836</v>
      </c>
      <c r="F786" s="669">
        <f>+'PB stanja'!F46</f>
        <v>44886.150826696874</v>
      </c>
      <c r="G786" s="669">
        <f>+'PB stanja'!G46</f>
        <v>51135.90778531814</v>
      </c>
      <c r="H786" s="669">
        <f>+'PB stanja'!H46</f>
        <v>57550.42214846265</v>
      </c>
    </row>
    <row r="787" spans="2:8" ht="12" customHeight="1">
      <c r="B787" s="659" t="s">
        <v>1347</v>
      </c>
      <c r="C787" s="669">
        <f>+'PB stanja'!C47</f>
        <v>94078</v>
      </c>
      <c r="D787" s="669">
        <f>+'PB stanja'!D47</f>
        <v>89388.76968030016</v>
      </c>
      <c r="E787" s="669">
        <f>+'PB stanja'!E47</f>
        <v>95286.78113356241</v>
      </c>
      <c r="F787" s="669">
        <f>+'PB stanja'!F47</f>
        <v>101375.33017570489</v>
      </c>
      <c r="G787" s="669">
        <f>+'PB stanja'!G47</f>
        <v>107670.45570170187</v>
      </c>
      <c r="H787" s="669">
        <f>+'PB stanja'!H47</f>
        <v>114131.9489213095</v>
      </c>
    </row>
    <row r="788" spans="2:8" ht="12" customHeight="1">
      <c r="B788" s="659" t="s">
        <v>333</v>
      </c>
      <c r="C788" s="669">
        <f>+'PB stanja'!C48</f>
        <v>0</v>
      </c>
      <c r="D788" s="669">
        <f>+'PB stanja'!D48</f>
        <v>0</v>
      </c>
      <c r="E788" s="669">
        <f>+'PB stanja'!E48</f>
        <v>0</v>
      </c>
      <c r="F788" s="669">
        <f>+'PB stanja'!F48</f>
        <v>0</v>
      </c>
      <c r="G788" s="669">
        <f>+'PB stanja'!G48</f>
        <v>0</v>
      </c>
      <c r="H788" s="669">
        <f>+'PB stanja'!H48</f>
        <v>0</v>
      </c>
    </row>
    <row r="789" spans="2:8" ht="12" customHeight="1" thickBot="1">
      <c r="B789" s="662" t="s">
        <v>1349</v>
      </c>
      <c r="C789" s="669">
        <f>+'PB stanja'!C49</f>
        <v>94078</v>
      </c>
      <c r="D789" s="669">
        <f>+'PB stanja'!D49</f>
        <v>89388.76968030016</v>
      </c>
      <c r="E789" s="669">
        <f>+'PB stanja'!E49</f>
        <v>95286.78113356241</v>
      </c>
      <c r="F789" s="669">
        <f>+'PB stanja'!F49</f>
        <v>101375.33017570489</v>
      </c>
      <c r="G789" s="669">
        <f>+'PB stanja'!G49</f>
        <v>107670.45570170187</v>
      </c>
      <c r="H789" s="669">
        <f>+'PB stanja'!H49</f>
        <v>114131.9489213095</v>
      </c>
    </row>
    <row r="790" ht="12" customHeight="1" thickTop="1">
      <c r="B790" s="578"/>
    </row>
    <row r="791" ht="12" customHeight="1">
      <c r="B791" s="540"/>
    </row>
    <row r="792" ht="12" customHeight="1">
      <c r="B792" s="549" t="s">
        <v>1094</v>
      </c>
    </row>
    <row r="793" ht="12" customHeight="1">
      <c r="B793" s="540"/>
    </row>
    <row r="794" ht="12" customHeight="1">
      <c r="B794" s="538" t="s">
        <v>1095</v>
      </c>
    </row>
    <row r="795" ht="12" customHeight="1">
      <c r="B795" s="540"/>
    </row>
    <row r="796" ht="12" customHeight="1">
      <c r="B796" s="578" t="s">
        <v>252</v>
      </c>
    </row>
    <row r="797" ht="12" customHeight="1" thickBot="1">
      <c r="B797" s="578"/>
    </row>
    <row r="798" spans="2:8" ht="12" customHeight="1" thickTop="1">
      <c r="B798" s="677" t="s">
        <v>1441</v>
      </c>
      <c r="C798" s="666" t="s">
        <v>253</v>
      </c>
      <c r="D798" s="666" t="s">
        <v>1453</v>
      </c>
      <c r="E798" s="666"/>
      <c r="F798" s="666"/>
      <c r="G798" s="666"/>
      <c r="H798" s="655"/>
    </row>
    <row r="799" spans="2:8" ht="12" customHeight="1">
      <c r="B799" s="679"/>
      <c r="C799" s="667" t="s">
        <v>1429</v>
      </c>
      <c r="D799" s="667" t="s">
        <v>1281</v>
      </c>
      <c r="E799" s="667" t="s">
        <v>1282</v>
      </c>
      <c r="F799" s="667" t="s">
        <v>1283</v>
      </c>
      <c r="G799" s="667" t="s">
        <v>1284</v>
      </c>
      <c r="H799" s="658" t="s">
        <v>1285</v>
      </c>
    </row>
    <row r="800" spans="2:8" ht="12" customHeight="1">
      <c r="B800" s="668"/>
      <c r="C800" s="660"/>
      <c r="D800" s="660"/>
      <c r="E800" s="660"/>
      <c r="F800" s="660"/>
      <c r="G800" s="660"/>
      <c r="H800" s="661"/>
    </row>
    <row r="801" spans="2:8" ht="12" customHeight="1">
      <c r="B801" s="586" t="s">
        <v>334</v>
      </c>
      <c r="C801" s="628">
        <f>+'PB stanja'!C57</f>
        <v>0.9740529681455182</v>
      </c>
      <c r="D801" s="628">
        <f>+'PB stanja'!D57</f>
        <v>0.9429017241821523</v>
      </c>
      <c r="E801" s="628">
        <f>+'PB stanja'!E57</f>
        <v>0.9392411526591035</v>
      </c>
      <c r="F801" s="628">
        <f>+'PB stanja'!F57</f>
        <v>0.9376416305039867</v>
      </c>
      <c r="G801" s="628">
        <f>+'PB stanja'!G57</f>
        <v>0.9363379051136883</v>
      </c>
      <c r="H801" s="629">
        <f>+'PB stanja'!H57</f>
        <v>0.9355028165191547</v>
      </c>
    </row>
    <row r="802" spans="2:8" ht="12" customHeight="1">
      <c r="B802" s="586" t="s">
        <v>254</v>
      </c>
      <c r="C802" s="628">
        <f>+'PB stanja'!C58</f>
        <v>0.025947031854481804</v>
      </c>
      <c r="D802" s="628">
        <f>+'PB stanja'!D58</f>
        <v>0.05709827581784761</v>
      </c>
      <c r="E802" s="628">
        <f>+'PB stanja'!E58</f>
        <v>0.060758847340896496</v>
      </c>
      <c r="F802" s="628">
        <f>+'PB stanja'!F58</f>
        <v>0.062358369496013276</v>
      </c>
      <c r="G802" s="628">
        <f>+'PB stanja'!G58</f>
        <v>0.06366209488631172</v>
      </c>
      <c r="H802" s="629">
        <f>+'PB stanja'!H58</f>
        <v>0.06449718348084535</v>
      </c>
    </row>
    <row r="803" spans="2:8" ht="12" customHeight="1">
      <c r="B803" s="586" t="s">
        <v>255</v>
      </c>
      <c r="C803" s="680">
        <f>+'PB stanja'!C59</f>
        <v>1.3180447776845639</v>
      </c>
      <c r="D803" s="680">
        <f>+'PB stanja'!D59</f>
        <v>1.3216292406750243</v>
      </c>
      <c r="E803" s="680">
        <f>+'PB stanja'!E59</f>
        <v>1.2584625856054819</v>
      </c>
      <c r="F803" s="680">
        <f>+'PB stanja'!F59</f>
        <v>1.192822565628245</v>
      </c>
      <c r="G803" s="680">
        <f>+'PB stanja'!G59</f>
        <v>1.1329987713878196</v>
      </c>
      <c r="H803" s="681">
        <f>+'PB stanja'!H59</f>
        <v>1.0787395103899167</v>
      </c>
    </row>
    <row r="804" spans="2:8" ht="12" customHeight="1">
      <c r="B804" s="586" t="s">
        <v>256</v>
      </c>
      <c r="C804" s="628">
        <f>+'PB stanja'!C60</f>
        <v>0.034199349832214766</v>
      </c>
      <c r="D804" s="628">
        <f>+'PB stanja'!D60</f>
        <v>0.06477463007074721</v>
      </c>
      <c r="E804" s="628">
        <f>+'PB stanja'!E60</f>
        <v>0.06564281488806158</v>
      </c>
      <c r="F804" s="628">
        <f>+'PB stanja'!F60</f>
        <v>0.06386122770905558</v>
      </c>
      <c r="G804" s="628">
        <f>+'PB stanja'!G60</f>
        <v>0.061930055330375586</v>
      </c>
      <c r="H804" s="629">
        <f>+'PB stanja'!H60</f>
        <v>0.0597402174260242</v>
      </c>
    </row>
    <row r="805" spans="2:8" ht="12" customHeight="1">
      <c r="B805" s="586" t="s">
        <v>16</v>
      </c>
      <c r="C805" s="680">
        <f>+'PB stanja'!C61</f>
        <v>3.0586166471277845</v>
      </c>
      <c r="D805" s="680" t="e">
        <f>+'PB stanja'!D61</f>
        <v>#DIV/0!</v>
      </c>
      <c r="E805" s="680" t="e">
        <f>+'PB stanja'!E61</f>
        <v>#DIV/0!</v>
      </c>
      <c r="F805" s="680" t="e">
        <f>+'PB stanja'!F61</f>
        <v>#DIV/0!</v>
      </c>
      <c r="G805" s="680" t="e">
        <f>+'PB stanja'!G61</f>
        <v>#DIV/0!</v>
      </c>
      <c r="H805" s="681" t="e">
        <f>+'PB stanja'!H61</f>
        <v>#DIV/0!</v>
      </c>
    </row>
    <row r="806" spans="2:8" ht="12" customHeight="1">
      <c r="B806" s="586" t="s">
        <v>1289</v>
      </c>
      <c r="C806" s="587">
        <f>+'PB stanja'!C62</f>
        <v>0.0587248322147651</v>
      </c>
      <c r="D806" s="587">
        <f>+'PB stanja'!D62</f>
        <v>0</v>
      </c>
      <c r="E806" s="587">
        <f>+'PB stanja'!E62</f>
        <v>0</v>
      </c>
      <c r="F806" s="587">
        <f>+'PB stanja'!F62</f>
        <v>0</v>
      </c>
      <c r="G806" s="587">
        <f>+'PB stanja'!G62</f>
        <v>0</v>
      </c>
      <c r="H806" s="588">
        <f>+'PB stanja'!H62</f>
        <v>0</v>
      </c>
    </row>
    <row r="807" spans="2:8" ht="12" customHeight="1">
      <c r="B807" s="586" t="s">
        <v>1354</v>
      </c>
      <c r="C807" s="682">
        <f>+'PB stanja'!C63</f>
        <v>0.1890984077042454</v>
      </c>
      <c r="D807" s="682">
        <f>+'PB stanja'!D63</f>
        <v>0.08658890553995846</v>
      </c>
      <c r="E807" s="682">
        <f>+'PB stanja'!E63</f>
        <v>0.08211961767089938</v>
      </c>
      <c r="F807" s="682">
        <f>+'PB stanja'!F63</f>
        <v>0.07763406871639612</v>
      </c>
      <c r="G807" s="682">
        <f>+'PB stanja'!G63</f>
        <v>0.07351643368458986</v>
      </c>
      <c r="H807" s="683">
        <f>+'PB stanja'!H63</f>
        <v>0.06976597568080402</v>
      </c>
    </row>
    <row r="808" spans="2:8" ht="12" customHeight="1">
      <c r="B808" s="586" t="s">
        <v>1353</v>
      </c>
      <c r="C808" s="682">
        <f>+'PB stanja'!C64</f>
        <v>0.36077143030966724</v>
      </c>
      <c r="D808" s="682">
        <f>+'PB stanja'!D64</f>
        <v>0.14157373177075264</v>
      </c>
      <c r="E808" s="682">
        <f>+'PB stanja'!E64</f>
        <v>0.12936978142199712</v>
      </c>
      <c r="F808" s="682">
        <f>+'PB stanja'!F64</f>
        <v>0.11829848344213731</v>
      </c>
      <c r="G808" s="682">
        <f>+'PB stanja'!G64</f>
        <v>0.10876305952258464</v>
      </c>
      <c r="H808" s="683">
        <f>+'PB stanja'!H64</f>
        <v>0.10054657449319371</v>
      </c>
    </row>
    <row r="809" spans="2:8" ht="12" customHeight="1">
      <c r="B809" s="586" t="s">
        <v>257</v>
      </c>
      <c r="C809" s="682">
        <f>+'PB stanja'!C65</f>
        <v>0.030700838380523315</v>
      </c>
      <c r="D809" s="682">
        <f>+'PB stanja'!D65</f>
        <v>0.0660625925602107</v>
      </c>
      <c r="E809" s="682">
        <f>+'PB stanja'!E65</f>
        <v>0.06647338986299993</v>
      </c>
      <c r="F809" s="682">
        <f>+'PB stanja'!F65</f>
        <v>0.06682061423598433</v>
      </c>
      <c r="G809" s="682">
        <f>+'PB stanja'!G65</f>
        <v>0.0671674295068084</v>
      </c>
      <c r="H809" s="683">
        <f>+'PB stanja'!H65</f>
        <v>0.06750283062807513</v>
      </c>
    </row>
    <row r="810" spans="2:8" ht="12" customHeight="1">
      <c r="B810" s="586" t="s">
        <v>258</v>
      </c>
      <c r="C810" s="682">
        <f>+'PB stanja'!C66</f>
        <v>0.38817117681574526</v>
      </c>
      <c r="D810" s="682">
        <f>+'PB stanja'!D66</f>
        <v>0.36170190613863235</v>
      </c>
      <c r="E810" s="682">
        <f>+'PB stanja'!E66</f>
        <v>0.3546097119006197</v>
      </c>
      <c r="F810" s="682">
        <f>+'PB stanja'!F66</f>
        <v>0.3499437946387697</v>
      </c>
      <c r="G810" s="682">
        <f>+'PB stanja'!G66</f>
        <v>0.34533927102510137</v>
      </c>
      <c r="H810" s="683">
        <f>+'PB stanja'!H66</f>
        <v>0.3407953332484553</v>
      </c>
    </row>
    <row r="811" spans="2:8" ht="12" customHeight="1">
      <c r="B811" s="586" t="s">
        <v>259</v>
      </c>
      <c r="C811" s="587">
        <f>+'PB stanja'!C67</f>
        <v>0</v>
      </c>
      <c r="D811" s="587">
        <f>+'PB stanja'!D67</f>
        <v>0.02207599348653111</v>
      </c>
      <c r="E811" s="587">
        <f>+'PB stanja'!E67</f>
        <v>0.020000000000000018</v>
      </c>
      <c r="F811" s="587">
        <f>+'PB stanja'!F67</f>
        <v>0.01333333333333342</v>
      </c>
      <c r="G811" s="587">
        <f>+'PB stanja'!G67</f>
        <v>0.01333333333333342</v>
      </c>
      <c r="H811" s="588">
        <f>+'PB stanja'!H67</f>
        <v>0.01333333333333342</v>
      </c>
    </row>
    <row r="812" spans="2:8" ht="12" customHeight="1">
      <c r="B812" s="586" t="s">
        <v>260</v>
      </c>
      <c r="C812" s="587">
        <f>+'PB stanja'!C68</f>
        <v>0</v>
      </c>
      <c r="D812" s="587">
        <f>+'PB stanja'!D68</f>
        <v>0.6492063848038976</v>
      </c>
      <c r="E812" s="587">
        <f>+'PB stanja'!E68</f>
        <v>-2.0853922189423235</v>
      </c>
      <c r="F812" s="587">
        <f>+'PB stanja'!F68</f>
        <v>0.040010092161409716</v>
      </c>
      <c r="G812" s="587">
        <f>+'PB stanja'!G68</f>
        <v>0.03451907642090557</v>
      </c>
      <c r="H812" s="588">
        <f>+'PB stanja'!H68</f>
        <v>0.0266257502831464</v>
      </c>
    </row>
    <row r="813" spans="2:8" ht="12" customHeight="1">
      <c r="B813" s="586" t="s">
        <v>1379</v>
      </c>
      <c r="C813" s="682">
        <f>+'PB stanja'!C69</f>
        <v>1.0688046089415166</v>
      </c>
      <c r="D813" s="682">
        <f>+'PB stanja'!D69</f>
        <v>1.2071908111953675</v>
      </c>
      <c r="E813" s="682">
        <f>+'PB stanja'!E69</f>
        <v>1.1551181192224282</v>
      </c>
      <c r="F813" s="682">
        <f>+'PB stanja'!F69</f>
        <v>1.100218896601794</v>
      </c>
      <c r="G813" s="682">
        <f>+'PB stanja'!G69</f>
        <v>1.0497047423463652</v>
      </c>
      <c r="H813" s="683">
        <f>+'PB stanja'!H69</f>
        <v>1.0034801959421313</v>
      </c>
    </row>
    <row r="814" spans="2:8" ht="12" customHeight="1">
      <c r="B814" s="586" t="s">
        <v>261</v>
      </c>
      <c r="C814" s="587">
        <f>+'PB stanja'!C70</f>
        <v>0.1478660727115965</v>
      </c>
      <c r="D814" s="587">
        <f>+'PB stanja'!D70</f>
        <v>0.4794433405251801</v>
      </c>
      <c r="E814" s="587">
        <f>+'PB stanja'!E70</f>
        <v>0.48321315790457253</v>
      </c>
      <c r="F814" s="587">
        <f>+'PB stanja'!F70</f>
        <v>0.4863819751708119</v>
      </c>
      <c r="G814" s="587">
        <f>+'PB stanja'!G70</f>
        <v>0.48954862459584236</v>
      </c>
      <c r="H814" s="588">
        <f>+'PB stanja'!H70</f>
        <v>0.49262484739668627</v>
      </c>
    </row>
    <row r="815" spans="2:8" ht="12" customHeight="1" thickBot="1">
      <c r="B815" s="594" t="s">
        <v>175</v>
      </c>
      <c r="C815" s="591">
        <f>+'PB stanja'!C71</f>
        <v>1.650398061613015</v>
      </c>
      <c r="D815" s="591">
        <f>+'PB stanja'!D71</f>
        <v>1.766370152866898</v>
      </c>
      <c r="E815" s="591">
        <f>+'PB stanja'!E71</f>
        <v>1.892131081208541</v>
      </c>
      <c r="F815" s="591">
        <f>+'PB stanja'!F71</f>
        <v>2.022870171917117</v>
      </c>
      <c r="G815" s="591">
        <f>+'PB stanja'!G71</f>
        <v>2.158076059737758</v>
      </c>
      <c r="H815" s="592">
        <f>+'PB stanja'!H71</f>
        <v>2.296846273547565</v>
      </c>
    </row>
    <row r="816" spans="3:8" ht="12" customHeight="1" thickTop="1">
      <c r="C816" s="684"/>
      <c r="D816" s="684"/>
      <c r="E816" s="684"/>
      <c r="F816" s="684"/>
      <c r="G816" s="684"/>
      <c r="H816" s="684"/>
    </row>
    <row r="817" ht="12" customHeight="1">
      <c r="B817" s="538" t="s">
        <v>33</v>
      </c>
    </row>
    <row r="818" ht="12" customHeight="1">
      <c r="B818" s="539" t="s">
        <v>34</v>
      </c>
    </row>
    <row r="819" ht="12" customHeight="1">
      <c r="B819" s="538" t="s">
        <v>35</v>
      </c>
    </row>
    <row r="820" ht="12" customHeight="1">
      <c r="B820" s="538" t="s">
        <v>36</v>
      </c>
    </row>
    <row r="821" ht="12" customHeight="1">
      <c r="B821" s="538" t="s">
        <v>37</v>
      </c>
    </row>
    <row r="822" ht="12" customHeight="1">
      <c r="B822" s="540"/>
    </row>
    <row r="823" ht="12" customHeight="1">
      <c r="B823" s="537"/>
    </row>
    <row r="824" ht="12" customHeight="1">
      <c r="B824" s="537" t="s">
        <v>357</v>
      </c>
    </row>
    <row r="825" ht="12" customHeight="1">
      <c r="B825" s="537"/>
    </row>
    <row r="826" ht="12" customHeight="1">
      <c r="B826" s="538" t="s">
        <v>358</v>
      </c>
    </row>
    <row r="827" ht="12" customHeight="1">
      <c r="B827" s="538" t="s">
        <v>359</v>
      </c>
    </row>
    <row r="828" ht="12" customHeight="1">
      <c r="B828" s="538" t="s">
        <v>360</v>
      </c>
    </row>
    <row r="829" ht="12" customHeight="1">
      <c r="B829" s="538" t="s">
        <v>361</v>
      </c>
    </row>
    <row r="831" ht="12" customHeight="1">
      <c r="B831" s="578" t="s">
        <v>1096</v>
      </c>
    </row>
    <row r="832" ht="12" customHeight="1" thickBot="1">
      <c r="B832" s="548"/>
    </row>
    <row r="833" spans="2:4" ht="12" customHeight="1" thickTop="1">
      <c r="B833" s="685" t="s">
        <v>1097</v>
      </c>
      <c r="C833" s="686" t="s">
        <v>1099</v>
      </c>
      <c r="D833" s="687" t="s">
        <v>1100</v>
      </c>
    </row>
    <row r="834" spans="2:4" ht="12" customHeight="1">
      <c r="B834" s="688" t="s">
        <v>1098</v>
      </c>
      <c r="C834" s="689"/>
      <c r="D834" s="690" t="s">
        <v>1101</v>
      </c>
    </row>
    <row r="835" spans="2:4" ht="12" customHeight="1">
      <c r="B835" s="691" t="s">
        <v>1102</v>
      </c>
      <c r="C835" s="692" t="s">
        <v>1103</v>
      </c>
      <c r="D835" s="693">
        <f>+'DF'!D67/100</f>
        <v>0.101875</v>
      </c>
    </row>
    <row r="836" spans="2:4" ht="12" customHeight="1">
      <c r="B836" s="691"/>
      <c r="C836" s="694"/>
      <c r="D836" s="695"/>
    </row>
    <row r="837" spans="2:4" ht="12" customHeight="1">
      <c r="B837" s="691">
        <v>1</v>
      </c>
      <c r="C837" s="692" t="s">
        <v>1104</v>
      </c>
      <c r="D837" s="696">
        <f>+'DF'!D68/100</f>
        <v>0.0125</v>
      </c>
    </row>
    <row r="838" spans="2:4" ht="12" customHeight="1">
      <c r="B838" s="691">
        <v>2</v>
      </c>
      <c r="C838" s="692" t="s">
        <v>1105</v>
      </c>
      <c r="D838" s="697"/>
    </row>
    <row r="839" spans="2:4" ht="12" customHeight="1">
      <c r="B839" s="691"/>
      <c r="C839" s="692"/>
      <c r="D839" s="696">
        <f>+'DF'!D69/100</f>
        <v>0.015</v>
      </c>
    </row>
    <row r="840" spans="2:4" ht="12" customHeight="1">
      <c r="B840" s="691">
        <v>3</v>
      </c>
      <c r="C840" s="692" t="s">
        <v>1106</v>
      </c>
      <c r="D840" s="696">
        <f>+'DF'!D70/100</f>
        <v>0.04</v>
      </c>
    </row>
    <row r="841" spans="2:4" ht="12" customHeight="1">
      <c r="B841" s="691">
        <v>4</v>
      </c>
      <c r="C841" s="692" t="s">
        <v>1107</v>
      </c>
      <c r="D841" s="696">
        <f>+'DF'!D71/100</f>
        <v>0.0125</v>
      </c>
    </row>
    <row r="842" spans="2:4" ht="12" customHeight="1">
      <c r="B842" s="691">
        <v>5</v>
      </c>
      <c r="C842" s="692" t="s">
        <v>1108</v>
      </c>
      <c r="D842" s="697"/>
    </row>
    <row r="843" spans="2:4" ht="12" customHeight="1">
      <c r="B843" s="691"/>
      <c r="C843" s="692" t="s">
        <v>1109</v>
      </c>
      <c r="D843" s="696">
        <f>+'DF'!D72/100</f>
        <v>0.021875</v>
      </c>
    </row>
    <row r="844" spans="2:4" ht="12" customHeight="1">
      <c r="B844" s="691"/>
      <c r="C844" s="692"/>
      <c r="D844" s="697"/>
    </row>
    <row r="845" spans="2:4" ht="12" customHeight="1">
      <c r="B845" s="691" t="s">
        <v>1110</v>
      </c>
      <c r="C845" s="692" t="s">
        <v>1111</v>
      </c>
      <c r="D845" s="696">
        <f>+'DF'!D65/100</f>
        <v>0.045</v>
      </c>
    </row>
    <row r="846" spans="2:4" ht="12" customHeight="1">
      <c r="B846" s="691"/>
      <c r="C846" s="692" t="s">
        <v>214</v>
      </c>
      <c r="D846" s="697"/>
    </row>
    <row r="847" spans="2:4" ht="12" customHeight="1">
      <c r="B847" s="691"/>
      <c r="C847" s="694"/>
      <c r="D847" s="697"/>
    </row>
    <row r="848" spans="2:4" ht="12" customHeight="1">
      <c r="B848" s="691" t="s">
        <v>215</v>
      </c>
      <c r="C848" s="692" t="s">
        <v>216</v>
      </c>
      <c r="D848" s="696">
        <f>+'DF'!D66/100</f>
        <v>0.07</v>
      </c>
    </row>
    <row r="849" spans="2:4" ht="12" customHeight="1">
      <c r="B849" s="691"/>
      <c r="C849" s="694"/>
      <c r="D849" s="697"/>
    </row>
    <row r="850" spans="2:4" ht="12" customHeight="1" thickBot="1">
      <c r="B850" s="581"/>
      <c r="C850" s="698" t="s">
        <v>217</v>
      </c>
      <c r="D850" s="699">
        <f>+D835+D845+D848</f>
        <v>0.21687499999999998</v>
      </c>
    </row>
    <row r="851" ht="12" customHeight="1" thickTop="1">
      <c r="B851" s="601"/>
    </row>
    <row r="852" ht="12" customHeight="1">
      <c r="B852" s="540"/>
    </row>
    <row r="853" ht="12" customHeight="1">
      <c r="B853" s="540" t="s">
        <v>218</v>
      </c>
    </row>
    <row r="854" ht="12" customHeight="1">
      <c r="B854" s="540"/>
    </row>
    <row r="855" ht="12" customHeight="1">
      <c r="B855" s="540" t="s">
        <v>219</v>
      </c>
    </row>
    <row r="856" ht="12" customHeight="1">
      <c r="B856" s="540"/>
    </row>
    <row r="857" spans="2:4" ht="12" customHeight="1">
      <c r="B857" s="540" t="s">
        <v>38</v>
      </c>
      <c r="C857" s="700">
        <f>+D837</f>
        <v>0.0125</v>
      </c>
      <c r="D857" s="536" t="s">
        <v>43</v>
      </c>
    </row>
    <row r="858" ht="12" customHeight="1">
      <c r="B858" s="540"/>
    </row>
    <row r="859" spans="2:4" ht="12" customHeight="1">
      <c r="B859" s="540" t="s">
        <v>39</v>
      </c>
      <c r="C859" s="700">
        <f>+D839</f>
        <v>0.015</v>
      </c>
      <c r="D859" s="545" t="s">
        <v>44</v>
      </c>
    </row>
    <row r="860" ht="12" customHeight="1">
      <c r="B860" s="540"/>
    </row>
    <row r="861" spans="2:4" ht="12" customHeight="1">
      <c r="B861" s="540" t="s">
        <v>40</v>
      </c>
      <c r="C861" s="700">
        <f>+D840</f>
        <v>0.04</v>
      </c>
      <c r="D861" s="545" t="s">
        <v>1464</v>
      </c>
    </row>
    <row r="862" ht="12" customHeight="1">
      <c r="B862" s="540"/>
    </row>
    <row r="863" spans="2:4" ht="12" customHeight="1">
      <c r="B863" s="540" t="s">
        <v>41</v>
      </c>
      <c r="C863" s="700">
        <f>+D843</f>
        <v>0.021875</v>
      </c>
      <c r="D863" s="536" t="s">
        <v>1463</v>
      </c>
    </row>
    <row r="864" ht="12" customHeight="1">
      <c r="B864" s="540"/>
    </row>
    <row r="865" spans="2:4" ht="12" customHeight="1">
      <c r="B865" s="540" t="s">
        <v>42</v>
      </c>
      <c r="C865" s="700">
        <f>+D843</f>
        <v>0.021875</v>
      </c>
      <c r="D865" s="536" t="s">
        <v>45</v>
      </c>
    </row>
    <row r="866" ht="12" customHeight="1">
      <c r="B866" s="540" t="s">
        <v>220</v>
      </c>
    </row>
    <row r="867" ht="12" customHeight="1">
      <c r="B867" s="540"/>
    </row>
    <row r="868" ht="12" customHeight="1">
      <c r="B868" s="540"/>
    </row>
    <row r="869" ht="12" customHeight="1">
      <c r="B869" s="537" t="s">
        <v>362</v>
      </c>
    </row>
    <row r="870" ht="12" customHeight="1">
      <c r="B870" s="540"/>
    </row>
    <row r="871" ht="12" customHeight="1">
      <c r="B871" s="538" t="s">
        <v>46</v>
      </c>
    </row>
    <row r="872" ht="12" customHeight="1">
      <c r="B872" s="539" t="s">
        <v>47</v>
      </c>
    </row>
    <row r="873" ht="12" customHeight="1">
      <c r="B873" s="538" t="s">
        <v>48</v>
      </c>
    </row>
    <row r="874" ht="12" customHeight="1">
      <c r="B874" s="701">
        <f>+D850</f>
        <v>0.21687499999999998</v>
      </c>
    </row>
    <row r="875" ht="12" customHeight="1">
      <c r="B875" s="538" t="s">
        <v>50</v>
      </c>
    </row>
    <row r="876" ht="12" customHeight="1">
      <c r="B876" s="538" t="s">
        <v>49</v>
      </c>
    </row>
    <row r="877" ht="12" customHeight="1">
      <c r="B877" s="540"/>
    </row>
    <row r="878" spans="2:8" ht="12" customHeight="1">
      <c r="B878" s="601" t="s">
        <v>1296</v>
      </c>
      <c r="C878" s="401"/>
      <c r="D878" s="401"/>
      <c r="E878" s="401"/>
      <c r="F878" s="401"/>
      <c r="G878" s="401"/>
      <c r="H878" s="401"/>
    </row>
    <row r="879" spans="3:8" ht="12" customHeight="1" thickBot="1">
      <c r="C879" s="401"/>
      <c r="D879" s="401"/>
      <c r="E879" s="613" t="s">
        <v>277</v>
      </c>
      <c r="F879" s="401"/>
      <c r="G879" s="401"/>
      <c r="H879" s="401"/>
    </row>
    <row r="880" spans="2:8" ht="12" customHeight="1" thickTop="1">
      <c r="B880" s="677" t="s">
        <v>271</v>
      </c>
      <c r="C880" s="666" t="s">
        <v>1453</v>
      </c>
      <c r="D880" s="666"/>
      <c r="E880" s="666"/>
      <c r="F880" s="666"/>
      <c r="G880" s="666"/>
      <c r="H880" s="702" t="s">
        <v>275</v>
      </c>
    </row>
    <row r="881" spans="2:8" ht="12" customHeight="1">
      <c r="B881" s="679"/>
      <c r="C881" s="667">
        <v>2003</v>
      </c>
      <c r="D881" s="667">
        <v>2004</v>
      </c>
      <c r="E881" s="667">
        <v>2005</v>
      </c>
      <c r="F881" s="667">
        <v>2006</v>
      </c>
      <c r="G881" s="667">
        <v>2007</v>
      </c>
      <c r="H881" s="703" t="s">
        <v>276</v>
      </c>
    </row>
    <row r="882" spans="2:8" ht="12" customHeight="1">
      <c r="B882" s="668"/>
      <c r="C882" s="660"/>
      <c r="D882" s="660"/>
      <c r="E882" s="660"/>
      <c r="F882" s="660"/>
      <c r="G882" s="660"/>
      <c r="H882" s="661"/>
    </row>
    <row r="883" spans="2:8" ht="12" customHeight="1">
      <c r="B883" s="659" t="s">
        <v>1295</v>
      </c>
      <c r="C883" s="669">
        <f>+DNT!C8</f>
        <v>1318.9257354557446</v>
      </c>
      <c r="D883" s="669">
        <f>+DNT!D8</f>
        <v>5625.3823604980935</v>
      </c>
      <c r="E883" s="669">
        <f>+DNT!E8</f>
        <v>5907.001919729675</v>
      </c>
      <c r="F883" s="669">
        <f>+DNT!F8</f>
        <v>6111.187927081053</v>
      </c>
      <c r="G883" s="669">
        <f>+DNT!G8</f>
        <v>6274.882359759507</v>
      </c>
      <c r="H883" s="670">
        <f>+DNT!H8</f>
        <v>6400.380006954698</v>
      </c>
    </row>
    <row r="884" spans="2:8" ht="12" customHeight="1">
      <c r="B884" s="659" t="s">
        <v>272</v>
      </c>
      <c r="C884" s="660"/>
      <c r="D884" s="660"/>
      <c r="E884" s="660"/>
      <c r="F884" s="660"/>
      <c r="G884" s="660"/>
      <c r="H884" s="670">
        <f>+DNT!H9</f>
        <v>32509.866701992112</v>
      </c>
    </row>
    <row r="885" spans="2:8" ht="12" customHeight="1">
      <c r="B885" s="659" t="s">
        <v>273</v>
      </c>
      <c r="C885" s="704">
        <f>+DNT!C10</f>
        <v>0.9065192181986733</v>
      </c>
      <c r="D885" s="704">
        <f>+DNT!D10</f>
        <v>0.7449567278468809</v>
      </c>
      <c r="E885" s="704">
        <f>+DNT!E10</f>
        <v>0.6121883741936363</v>
      </c>
      <c r="F885" s="704">
        <f>+DNT!F10</f>
        <v>0.5030823824909183</v>
      </c>
      <c r="G885" s="704">
        <f>+DNT!G10</f>
        <v>0.4134215778045554</v>
      </c>
      <c r="H885" s="705">
        <f>+DNT!H10</f>
        <v>0.37477460549784747</v>
      </c>
    </row>
    <row r="886" spans="2:8" ht="12" customHeight="1">
      <c r="B886" s="659" t="s">
        <v>1297</v>
      </c>
      <c r="C886" s="669">
        <f>+DNT!C11</f>
        <v>1195.6315265674518</v>
      </c>
      <c r="D886" s="669">
        <f>+DNT!D11</f>
        <v>4190.666436164223</v>
      </c>
      <c r="E886" s="669">
        <f>+DNT!E11</f>
        <v>3616.197901597998</v>
      </c>
      <c r="F886" s="669">
        <f>+DNT!F11</f>
        <v>3074.4309822056725</v>
      </c>
      <c r="G886" s="669">
        <f>+DNT!G11</f>
        <v>2594.1717657097474</v>
      </c>
      <c r="H886" s="670">
        <f>+DNT!H11</f>
        <v>12183.8724680267</v>
      </c>
    </row>
    <row r="887" spans="2:8" ht="12" customHeight="1">
      <c r="B887" s="668"/>
      <c r="C887" s="660"/>
      <c r="D887" s="660"/>
      <c r="E887" s="660"/>
      <c r="F887" s="660"/>
      <c r="G887" s="660"/>
      <c r="H887" s="661"/>
    </row>
    <row r="888" spans="2:8" ht="12" customHeight="1">
      <c r="B888" s="659" t="s">
        <v>274</v>
      </c>
      <c r="C888" s="660"/>
      <c r="D888" s="660"/>
      <c r="E888" s="660"/>
      <c r="F888" s="660"/>
      <c r="G888" s="660"/>
      <c r="H888" s="670">
        <f>+DNT!H13</f>
        <v>26854.971080271796</v>
      </c>
    </row>
    <row r="889" spans="2:8" ht="12" customHeight="1" thickBot="1">
      <c r="B889" s="706"/>
      <c r="C889" s="663"/>
      <c r="D889" s="663"/>
      <c r="E889" s="663"/>
      <c r="F889" s="663"/>
      <c r="G889" s="663"/>
      <c r="H889" s="664"/>
    </row>
    <row r="890" ht="12" customHeight="1" thickTop="1"/>
    <row r="891" ht="12" customHeight="1">
      <c r="B891" s="537"/>
    </row>
    <row r="892" ht="12" customHeight="1">
      <c r="B892" s="537" t="s">
        <v>363</v>
      </c>
    </row>
    <row r="893" ht="12" customHeight="1">
      <c r="B893" s="537"/>
    </row>
    <row r="894" ht="12" customHeight="1">
      <c r="B894" s="538" t="s">
        <v>221</v>
      </c>
    </row>
    <row r="895" ht="12" customHeight="1">
      <c r="B895" s="538"/>
    </row>
    <row r="896" ht="12" customHeight="1">
      <c r="B896" s="538" t="s">
        <v>364</v>
      </c>
    </row>
    <row r="897" ht="12" customHeight="1">
      <c r="B897" s="539" t="s">
        <v>365</v>
      </c>
    </row>
    <row r="898" spans="2:3" ht="12" customHeight="1">
      <c r="B898" s="593" t="s">
        <v>366</v>
      </c>
      <c r="C898" s="700">
        <f>+B874+0.05</f>
        <v>0.266875</v>
      </c>
    </row>
    <row r="899" ht="12" customHeight="1">
      <c r="B899" s="536" t="s">
        <v>367</v>
      </c>
    </row>
    <row r="901" ht="12" customHeight="1">
      <c r="B901" s="578" t="s">
        <v>1298</v>
      </c>
    </row>
    <row r="902" spans="2:5" ht="12" customHeight="1" thickBot="1">
      <c r="B902" s="634"/>
      <c r="E902" s="613" t="s">
        <v>277</v>
      </c>
    </row>
    <row r="903" spans="2:8" ht="12" customHeight="1" thickTop="1">
      <c r="B903" s="677" t="s">
        <v>271</v>
      </c>
      <c r="C903" s="666" t="s">
        <v>1453</v>
      </c>
      <c r="D903" s="666"/>
      <c r="E903" s="666"/>
      <c r="F903" s="666"/>
      <c r="G903" s="666"/>
      <c r="H903" s="702" t="s">
        <v>275</v>
      </c>
    </row>
    <row r="904" spans="2:8" ht="12" customHeight="1">
      <c r="B904" s="679"/>
      <c r="C904" s="667">
        <v>2003</v>
      </c>
      <c r="D904" s="667">
        <v>2004</v>
      </c>
      <c r="E904" s="667">
        <v>2005</v>
      </c>
      <c r="F904" s="667">
        <v>2006</v>
      </c>
      <c r="G904" s="667">
        <v>2007</v>
      </c>
      <c r="H904" s="703" t="s">
        <v>276</v>
      </c>
    </row>
    <row r="905" spans="2:8" ht="12" customHeight="1">
      <c r="B905" s="668"/>
      <c r="C905" s="660"/>
      <c r="D905" s="660"/>
      <c r="E905" s="660"/>
      <c r="F905" s="660"/>
      <c r="G905" s="660"/>
      <c r="H905" s="661"/>
    </row>
    <row r="906" spans="2:8" ht="12" customHeight="1">
      <c r="B906" s="659" t="s">
        <v>1295</v>
      </c>
      <c r="C906" s="669">
        <f>+DNT!C21</f>
        <v>1318.9257354557446</v>
      </c>
      <c r="D906" s="669">
        <f>+DNT!D21</f>
        <v>5625.3823604980935</v>
      </c>
      <c r="E906" s="669">
        <f>+DNT!E21</f>
        <v>5907.001919729675</v>
      </c>
      <c r="F906" s="669">
        <f>+DNT!F21</f>
        <v>6111.187927081053</v>
      </c>
      <c r="G906" s="669">
        <f>+DNT!G21</f>
        <v>6274.882359759507</v>
      </c>
      <c r="H906" s="670">
        <f>+DNT!H21</f>
        <v>6400.380006954698</v>
      </c>
    </row>
    <row r="907" spans="2:8" ht="12" customHeight="1">
      <c r="B907" s="659" t="s">
        <v>272</v>
      </c>
      <c r="C907" s="660"/>
      <c r="D907" s="660"/>
      <c r="E907" s="660"/>
      <c r="F907" s="660"/>
      <c r="G907" s="660"/>
      <c r="H907" s="670">
        <f>+DNT!H22</f>
        <v>25925.58990158865</v>
      </c>
    </row>
    <row r="908" spans="2:8" ht="12" customHeight="1">
      <c r="B908" s="659" t="s">
        <v>273</v>
      </c>
      <c r="C908" s="704">
        <f>+DNT!C23</f>
        <v>0.8884502562991952</v>
      </c>
      <c r="D908" s="704">
        <f>+DNT!D23</f>
        <v>0.7012927528755364</v>
      </c>
      <c r="E908" s="704">
        <f>+DNT!E23</f>
        <v>0.5535611270847846</v>
      </c>
      <c r="F908" s="704">
        <f>+DNT!F23</f>
        <v>0.43695007564659855</v>
      </c>
      <c r="G908" s="704">
        <f>+DNT!G23</f>
        <v>0.3449038584284942</v>
      </c>
      <c r="H908" s="705">
        <f>+DNT!H23</f>
        <v>0.306429921419377</v>
      </c>
    </row>
    <row r="909" spans="2:8" ht="12" customHeight="1">
      <c r="B909" s="659" t="s">
        <v>1297</v>
      </c>
      <c r="C909" s="669">
        <f>+DNT!C24</f>
        <v>1171.7999077052607</v>
      </c>
      <c r="D909" s="669">
        <f>+DNT!D24</f>
        <v>3945.039881571191</v>
      </c>
      <c r="E909" s="669">
        <f>+DNT!E24</f>
        <v>3269.886640377545</v>
      </c>
      <c r="F909" s="669">
        <f>+DNT!F24</f>
        <v>2670.284027028646</v>
      </c>
      <c r="G909" s="669">
        <f>+DNT!G24</f>
        <v>2164.2311370659486</v>
      </c>
      <c r="H909" s="670">
        <f>+DNT!H24</f>
        <v>7944.376476294805</v>
      </c>
    </row>
    <row r="910" spans="2:8" ht="12" customHeight="1">
      <c r="B910" s="668"/>
      <c r="C910" s="660"/>
      <c r="D910" s="660"/>
      <c r="E910" s="660"/>
      <c r="F910" s="660"/>
      <c r="G910" s="660"/>
      <c r="H910" s="661"/>
    </row>
    <row r="911" spans="2:8" ht="12" customHeight="1">
      <c r="B911" s="659" t="s">
        <v>274</v>
      </c>
      <c r="C911" s="660"/>
      <c r="D911" s="660"/>
      <c r="E911" s="660"/>
      <c r="F911" s="660"/>
      <c r="G911" s="660"/>
      <c r="H911" s="670">
        <f>+DNT!H26</f>
        <v>21165.618070043394</v>
      </c>
    </row>
    <row r="912" spans="2:8" ht="12" customHeight="1" thickBot="1">
      <c r="B912" s="706"/>
      <c r="C912" s="663"/>
      <c r="D912" s="663"/>
      <c r="E912" s="663"/>
      <c r="F912" s="663"/>
      <c r="G912" s="663"/>
      <c r="H912" s="664"/>
    </row>
    <row r="913" ht="12" customHeight="1" thickTop="1">
      <c r="B913" s="540"/>
    </row>
    <row r="914" ht="12" customHeight="1">
      <c r="B914" s="540" t="s">
        <v>368</v>
      </c>
    </row>
    <row r="915" ht="12" customHeight="1">
      <c r="B915" s="545" t="s">
        <v>369</v>
      </c>
    </row>
    <row r="916" spans="2:3" ht="12" customHeight="1">
      <c r="B916" s="536" t="s">
        <v>366</v>
      </c>
      <c r="C916" s="700">
        <f>+C898-0.1</f>
        <v>0.16687499999999997</v>
      </c>
    </row>
    <row r="917" ht="12" customHeight="1">
      <c r="B917" s="536" t="s">
        <v>370</v>
      </c>
    </row>
    <row r="918" ht="12" customHeight="1">
      <c r="B918" s="540"/>
    </row>
    <row r="919" ht="12" customHeight="1">
      <c r="B919" s="578" t="s">
        <v>222</v>
      </c>
    </row>
    <row r="920" ht="12" customHeight="1" thickBot="1">
      <c r="B920" s="634" t="s">
        <v>162</v>
      </c>
    </row>
    <row r="921" spans="2:8" ht="12" customHeight="1" thickTop="1">
      <c r="B921" s="677" t="s">
        <v>271</v>
      </c>
      <c r="C921" s="666" t="s">
        <v>1453</v>
      </c>
      <c r="D921" s="666"/>
      <c r="E921" s="666"/>
      <c r="F921" s="666"/>
      <c r="G921" s="666"/>
      <c r="H921" s="702" t="s">
        <v>275</v>
      </c>
    </row>
    <row r="922" spans="2:8" ht="12" customHeight="1">
      <c r="B922" s="679"/>
      <c r="C922" s="667" t="s">
        <v>1281</v>
      </c>
      <c r="D922" s="667" t="s">
        <v>1282</v>
      </c>
      <c r="E922" s="667" t="s">
        <v>1283</v>
      </c>
      <c r="F922" s="667" t="s">
        <v>1284</v>
      </c>
      <c r="G922" s="667" t="s">
        <v>1285</v>
      </c>
      <c r="H922" s="703" t="s">
        <v>276</v>
      </c>
    </row>
    <row r="923" spans="2:8" ht="12" customHeight="1">
      <c r="B923" s="668"/>
      <c r="C923" s="660"/>
      <c r="D923" s="660"/>
      <c r="E923" s="660"/>
      <c r="F923" s="660"/>
      <c r="G923" s="660"/>
      <c r="H923" s="661"/>
    </row>
    <row r="924" spans="2:8" ht="12" customHeight="1">
      <c r="B924" s="659" t="s">
        <v>1295</v>
      </c>
      <c r="C924" s="669">
        <f>+DNT!C33</f>
        <v>1318.9257354557446</v>
      </c>
      <c r="D924" s="669">
        <f>+DNT!D33</f>
        <v>5625.3823604980935</v>
      </c>
      <c r="E924" s="669">
        <f>+DNT!E33</f>
        <v>5907.001919729675</v>
      </c>
      <c r="F924" s="669">
        <f>+DNT!F33</f>
        <v>6111.187927081053</v>
      </c>
      <c r="G924" s="669">
        <f>+DNT!G33</f>
        <v>6274.882359759507</v>
      </c>
      <c r="H924" s="670">
        <f>+DNT!H33</f>
        <v>6400.380006954698</v>
      </c>
    </row>
    <row r="925" spans="2:8" ht="12" customHeight="1">
      <c r="B925" s="659" t="s">
        <v>272</v>
      </c>
      <c r="C925" s="660"/>
      <c r="D925" s="660"/>
      <c r="E925" s="660"/>
      <c r="F925" s="660"/>
      <c r="G925" s="660"/>
      <c r="H925" s="670">
        <f>+DNT!H34</f>
        <v>43577.05536650007</v>
      </c>
    </row>
    <row r="926" spans="2:8" ht="12" customHeight="1">
      <c r="B926" s="659" t="s">
        <v>273</v>
      </c>
      <c r="C926" s="704">
        <f>+DNT!C35</f>
        <v>0.9257374483328678</v>
      </c>
      <c r="D926" s="704">
        <f>+DNT!D35</f>
        <v>0.7933475722188474</v>
      </c>
      <c r="E926" s="704">
        <f>+DNT!E35</f>
        <v>0.6798907956883534</v>
      </c>
      <c r="F926" s="704">
        <f>+DNT!F35</f>
        <v>0.5826594928234415</v>
      </c>
      <c r="G926" s="704">
        <f>+DNT!G35</f>
        <v>0.4993332557672771</v>
      </c>
      <c r="H926" s="705">
        <f>+DNT!H35</f>
        <v>0.46225149406174243</v>
      </c>
    </row>
    <row r="927" spans="2:8" ht="12" customHeight="1">
      <c r="B927" s="659" t="s">
        <v>1297</v>
      </c>
      <c r="C927" s="669">
        <f>+DNT!C36</f>
        <v>1220.978944881352</v>
      </c>
      <c r="D927" s="669">
        <f>+DNT!D36</f>
        <v>4462.883438503892</v>
      </c>
      <c r="E927" s="669">
        <f>+DNT!E36</f>
        <v>4016.11623533764</v>
      </c>
      <c r="F927" s="669">
        <f>+DNT!F36</f>
        <v>3560.7416581417856</v>
      </c>
      <c r="G927" s="669">
        <f>+DNT!G36</f>
        <v>3133.2574382553694</v>
      </c>
      <c r="H927" s="670">
        <f>+DNT!H36</f>
        <v>20143.55894997593</v>
      </c>
    </row>
    <row r="928" spans="2:8" ht="12" customHeight="1">
      <c r="B928" s="668"/>
      <c r="C928" s="660"/>
      <c r="D928" s="660"/>
      <c r="E928" s="660"/>
      <c r="F928" s="660"/>
      <c r="G928" s="660"/>
      <c r="H928" s="661"/>
    </row>
    <row r="929" spans="2:8" ht="12" customHeight="1">
      <c r="B929" s="659" t="s">
        <v>274</v>
      </c>
      <c r="C929" s="660"/>
      <c r="D929" s="660"/>
      <c r="E929" s="660"/>
      <c r="F929" s="660"/>
      <c r="G929" s="660"/>
      <c r="H929" s="670">
        <f>+DNT!H38</f>
        <v>36537.53666509597</v>
      </c>
    </row>
    <row r="930" spans="2:8" ht="12" customHeight="1" thickBot="1">
      <c r="B930" s="706"/>
      <c r="C930" s="663"/>
      <c r="D930" s="663"/>
      <c r="E930" s="663"/>
      <c r="F930" s="663"/>
      <c r="G930" s="663"/>
      <c r="H930" s="664"/>
    </row>
    <row r="931" ht="12" customHeight="1" thickTop="1">
      <c r="B931" s="601"/>
    </row>
    <row r="932" ht="12" customHeight="1">
      <c r="B932" s="601"/>
    </row>
    <row r="933" ht="12" customHeight="1">
      <c r="B933" s="601"/>
    </row>
    <row r="934" ht="12" customHeight="1">
      <c r="B934" s="538" t="s">
        <v>371</v>
      </c>
    </row>
    <row r="935" spans="2:4" ht="12" customHeight="1">
      <c r="B935" s="540" t="s">
        <v>372</v>
      </c>
      <c r="C935" s="707">
        <f>+H911</f>
        <v>21165.618070043394</v>
      </c>
      <c r="D935" s="536" t="s">
        <v>373</v>
      </c>
    </row>
    <row r="936" spans="3:4" ht="12" customHeight="1">
      <c r="C936" s="707">
        <f>+H929</f>
        <v>36537.53666509597</v>
      </c>
      <c r="D936" s="536" t="s">
        <v>374</v>
      </c>
    </row>
    <row r="937" ht="12" customHeight="1">
      <c r="B937" s="548"/>
    </row>
    <row r="938" ht="12" customHeight="1">
      <c r="B938" s="537" t="s">
        <v>375</v>
      </c>
    </row>
    <row r="939" ht="12" customHeight="1">
      <c r="B939" s="537" t="s">
        <v>223</v>
      </c>
    </row>
    <row r="940" ht="12" customHeight="1">
      <c r="B940" s="537"/>
    </row>
    <row r="941" ht="12" customHeight="1">
      <c r="B941" s="537"/>
    </row>
    <row r="942" ht="12" customHeight="1">
      <c r="B942" s="538" t="s">
        <v>51</v>
      </c>
    </row>
    <row r="943" ht="12" customHeight="1">
      <c r="B943" s="538" t="s">
        <v>52</v>
      </c>
    </row>
    <row r="944" ht="12" customHeight="1">
      <c r="B944" s="538"/>
    </row>
    <row r="945" ht="12" customHeight="1">
      <c r="B945" s="543" t="s">
        <v>53</v>
      </c>
    </row>
    <row r="946" ht="12" customHeight="1">
      <c r="B946" s="538" t="s">
        <v>54</v>
      </c>
    </row>
    <row r="947" ht="12" customHeight="1">
      <c r="B947" s="538" t="s">
        <v>55</v>
      </c>
    </row>
    <row r="948" ht="12" customHeight="1">
      <c r="B948" s="538"/>
    </row>
    <row r="949" ht="12" customHeight="1">
      <c r="B949" s="538" t="s">
        <v>601</v>
      </c>
    </row>
    <row r="950" ht="12" customHeight="1">
      <c r="B950" s="538" t="s">
        <v>376</v>
      </c>
    </row>
    <row r="951" ht="12" customHeight="1">
      <c r="B951" s="538" t="s">
        <v>602</v>
      </c>
    </row>
    <row r="952" ht="12" customHeight="1">
      <c r="B952" s="538"/>
    </row>
    <row r="953" ht="12" customHeight="1">
      <c r="B953" s="538" t="s">
        <v>603</v>
      </c>
    </row>
    <row r="954" ht="12" customHeight="1">
      <c r="B954" s="538" t="s">
        <v>604</v>
      </c>
    </row>
    <row r="955" ht="12" customHeight="1">
      <c r="B955" s="538" t="s">
        <v>605</v>
      </c>
    </row>
    <row r="956" ht="12" customHeight="1">
      <c r="B956" s="541"/>
    </row>
    <row r="957" ht="12" customHeight="1">
      <c r="B957" s="541" t="s">
        <v>377</v>
      </c>
    </row>
    <row r="958" ht="12" customHeight="1">
      <c r="B958" s="541"/>
    </row>
    <row r="959" ht="12" customHeight="1">
      <c r="B959" s="538"/>
    </row>
    <row r="960" ht="12" customHeight="1">
      <c r="B960" s="538" t="s">
        <v>378</v>
      </c>
    </row>
    <row r="961" ht="12" customHeight="1">
      <c r="B961" s="538"/>
    </row>
    <row r="962" ht="12" customHeight="1">
      <c r="B962" s="538"/>
    </row>
    <row r="963" ht="12" customHeight="1">
      <c r="B963" s="708" t="s">
        <v>610</v>
      </c>
    </row>
    <row r="964" ht="12" customHeight="1">
      <c r="B964" s="538" t="s">
        <v>606</v>
      </c>
    </row>
    <row r="965" ht="12" customHeight="1">
      <c r="B965" s="538"/>
    </row>
    <row r="966" ht="12" customHeight="1">
      <c r="B966" s="708" t="s">
        <v>611</v>
      </c>
    </row>
    <row r="967" ht="12" customHeight="1">
      <c r="B967" s="538" t="s">
        <v>607</v>
      </c>
    </row>
    <row r="968" ht="12" customHeight="1">
      <c r="B968" s="604">
        <f>1-Bilansi!X11</f>
        <v>0.15000000000000002</v>
      </c>
    </row>
    <row r="969" ht="12" customHeight="1">
      <c r="B969" s="540" t="s">
        <v>608</v>
      </c>
    </row>
    <row r="970" ht="12" customHeight="1">
      <c r="B970" s="709">
        <f>+Bilansi!X11</f>
        <v>0.85</v>
      </c>
    </row>
    <row r="971" ht="12" customHeight="1">
      <c r="B971" s="540" t="s">
        <v>609</v>
      </c>
    </row>
    <row r="972" ht="12" customHeight="1">
      <c r="B972" s="540"/>
    </row>
    <row r="973" ht="12" customHeight="1">
      <c r="B973" s="710" t="s">
        <v>612</v>
      </c>
    </row>
    <row r="974" ht="12" customHeight="1">
      <c r="B974" s="548" t="s">
        <v>613</v>
      </c>
    </row>
    <row r="975" ht="12" customHeight="1">
      <c r="B975" s="538" t="s">
        <v>789</v>
      </c>
    </row>
    <row r="976" ht="12" customHeight="1">
      <c r="B976" s="401"/>
    </row>
    <row r="977" ht="12" customHeight="1">
      <c r="B977" s="540"/>
    </row>
    <row r="978" ht="12" customHeight="1">
      <c r="B978" s="710" t="s">
        <v>790</v>
      </c>
    </row>
    <row r="979" ht="12" customHeight="1">
      <c r="B979" s="539" t="s">
        <v>791</v>
      </c>
    </row>
    <row r="980" ht="12" customHeight="1">
      <c r="B980" s="539" t="s">
        <v>792</v>
      </c>
    </row>
    <row r="981" spans="2:3" ht="12" customHeight="1">
      <c r="B981" s="711" t="s">
        <v>1336</v>
      </c>
      <c r="C981" s="712">
        <f>1-'[2]Bilansi'!X19</f>
        <v>1</v>
      </c>
    </row>
    <row r="982" spans="2:3" ht="12" customHeight="1">
      <c r="B982" s="711" t="s">
        <v>21</v>
      </c>
      <c r="C982" s="712">
        <f>1-'[2]Bilansi'!X20</f>
        <v>1</v>
      </c>
    </row>
    <row r="983" spans="2:3" ht="12" customHeight="1">
      <c r="B983" s="711" t="s">
        <v>1337</v>
      </c>
      <c r="C983" s="712">
        <f>1-'[2]Bilansi'!X21</f>
        <v>1</v>
      </c>
    </row>
    <row r="984" spans="2:3" ht="12" customHeight="1">
      <c r="B984" s="711" t="s">
        <v>1351</v>
      </c>
      <c r="C984" s="712" t="e">
        <f>1-'[2]Bilansi'!X22</f>
        <v>#DIV/0!</v>
      </c>
    </row>
    <row r="985" spans="2:3" ht="12" customHeight="1">
      <c r="B985" s="711" t="s">
        <v>1352</v>
      </c>
      <c r="C985" s="712" t="e">
        <f>1-'[2]Bilansi'!X23</f>
        <v>#DIV/0!</v>
      </c>
    </row>
    <row r="986" ht="12" customHeight="1">
      <c r="B986" s="713"/>
    </row>
    <row r="987" ht="12" customHeight="1">
      <c r="B987" s="539" t="s">
        <v>793</v>
      </c>
    </row>
    <row r="988" ht="12" customHeight="1">
      <c r="B988" s="539"/>
    </row>
    <row r="989" ht="12" customHeight="1">
      <c r="B989" s="708" t="s">
        <v>379</v>
      </c>
    </row>
    <row r="990" ht="12" customHeight="1">
      <c r="B990" s="714" t="s">
        <v>380</v>
      </c>
    </row>
    <row r="991" ht="12" customHeight="1">
      <c r="B991" s="715" t="s">
        <v>381</v>
      </c>
    </row>
    <row r="992" spans="2:4" ht="12" customHeight="1">
      <c r="B992" s="715" t="s">
        <v>382</v>
      </c>
      <c r="C992" s="536">
        <v>0.25</v>
      </c>
      <c r="D992" s="536" t="s">
        <v>383</v>
      </c>
    </row>
    <row r="993" spans="2:5" ht="12" customHeight="1">
      <c r="B993" s="715" t="s">
        <v>384</v>
      </c>
      <c r="D993" s="536">
        <v>826</v>
      </c>
      <c r="E993" s="536" t="s">
        <v>374</v>
      </c>
    </row>
    <row r="994" ht="12" customHeight="1">
      <c r="B994" s="715"/>
    </row>
    <row r="995" ht="12" customHeight="1">
      <c r="B995" s="715"/>
    </row>
    <row r="996" ht="12" customHeight="1">
      <c r="B996" s="715"/>
    </row>
    <row r="997" ht="12" customHeight="1">
      <c r="B997" s="538"/>
    </row>
    <row r="998" ht="12" customHeight="1">
      <c r="B998" s="708" t="s">
        <v>794</v>
      </c>
    </row>
    <row r="999" ht="12" customHeight="1">
      <c r="B999" s="546" t="s">
        <v>795</v>
      </c>
    </row>
    <row r="1000" ht="12" customHeight="1">
      <c r="B1000" s="548" t="s">
        <v>796</v>
      </c>
    </row>
    <row r="1001" ht="12" customHeight="1">
      <c r="B1001" s="548"/>
    </row>
    <row r="1002" ht="12" customHeight="1">
      <c r="B1002" s="548" t="s">
        <v>797</v>
      </c>
    </row>
    <row r="1003" ht="12" customHeight="1">
      <c r="B1003" s="546" t="s">
        <v>798</v>
      </c>
    </row>
    <row r="1004" ht="12" customHeight="1">
      <c r="B1004" s="548" t="s">
        <v>799</v>
      </c>
    </row>
    <row r="1005" ht="12" customHeight="1">
      <c r="B1005" s="548" t="s">
        <v>800</v>
      </c>
    </row>
    <row r="1006" ht="12" customHeight="1">
      <c r="B1006" s="548" t="s">
        <v>801</v>
      </c>
    </row>
    <row r="1007" ht="12" customHeight="1">
      <c r="B1007" s="548"/>
    </row>
    <row r="1008" ht="12" customHeight="1">
      <c r="B1008" s="548" t="s">
        <v>385</v>
      </c>
    </row>
    <row r="1009" ht="12" customHeight="1">
      <c r="B1009" s="548"/>
    </row>
    <row r="1010" ht="12" customHeight="1">
      <c r="B1010" s="716" t="s">
        <v>803</v>
      </c>
    </row>
    <row r="1011" ht="12" customHeight="1">
      <c r="B1011" s="548" t="s">
        <v>804</v>
      </c>
    </row>
    <row r="1012" ht="12" customHeight="1">
      <c r="B1012" s="548"/>
    </row>
    <row r="1013" spans="2:6" s="401" customFormat="1" ht="12" customHeight="1">
      <c r="B1013" s="716" t="s">
        <v>805</v>
      </c>
      <c r="C1013" s="536"/>
      <c r="D1013" s="536"/>
      <c r="E1013" s="536"/>
      <c r="F1013" s="536"/>
    </row>
    <row r="1014" ht="12" customHeight="1">
      <c r="B1014" s="593" t="s">
        <v>806</v>
      </c>
    </row>
    <row r="1015" ht="12" customHeight="1">
      <c r="B1015" s="548"/>
    </row>
    <row r="1016" spans="2:6" ht="12" customHeight="1">
      <c r="B1016" s="602" t="s">
        <v>807</v>
      </c>
      <c r="C1016" s="401"/>
      <c r="D1016" s="401"/>
      <c r="E1016" s="401"/>
      <c r="F1016" s="401"/>
    </row>
    <row r="1017" ht="12" customHeight="1">
      <c r="B1017" s="717">
        <f>+Bilansi!V27</f>
        <v>6839.0504</v>
      </c>
    </row>
    <row r="1018" ht="12" customHeight="1">
      <c r="B1018" s="602" t="s">
        <v>386</v>
      </c>
    </row>
    <row r="1019" ht="12" customHeight="1">
      <c r="B1019" s="718">
        <f>+Bilansi!X27</f>
        <v>3.038227632163483</v>
      </c>
    </row>
    <row r="1020" ht="12" customHeight="1">
      <c r="B1020" s="602" t="s">
        <v>387</v>
      </c>
    </row>
    <row r="1022" ht="12" customHeight="1">
      <c r="B1022" s="540"/>
    </row>
    <row r="1023" ht="12" customHeight="1">
      <c r="B1023" s="538" t="s">
        <v>412</v>
      </c>
    </row>
    <row r="1024" ht="12" customHeight="1">
      <c r="B1024" s="601"/>
    </row>
    <row r="1025" ht="12" customHeight="1">
      <c r="B1025" s="710" t="s">
        <v>809</v>
      </c>
    </row>
    <row r="1026" ht="12" customHeight="1">
      <c r="B1026" s="540"/>
    </row>
    <row r="1027" ht="12" customHeight="1">
      <c r="B1027" s="538" t="s">
        <v>808</v>
      </c>
    </row>
    <row r="1028" ht="12" customHeight="1">
      <c r="B1028" s="539" t="s">
        <v>810</v>
      </c>
    </row>
    <row r="1029" ht="12" customHeight="1">
      <c r="B1029" s="538" t="s">
        <v>811</v>
      </c>
    </row>
    <row r="1030" ht="12" customHeight="1">
      <c r="B1030" s="538" t="s">
        <v>812</v>
      </c>
    </row>
    <row r="1031" ht="12" customHeight="1">
      <c r="B1031" s="719">
        <f>+Bilansi!V30</f>
        <v>10742.928350000002</v>
      </c>
    </row>
    <row r="1032" ht="12" customHeight="1">
      <c r="B1032" s="538" t="s">
        <v>388</v>
      </c>
    </row>
    <row r="1033" ht="12" customHeight="1">
      <c r="B1033" s="538" t="s">
        <v>815</v>
      </c>
    </row>
    <row r="1034" ht="12" customHeight="1">
      <c r="B1034" s="720">
        <f>(+Bilansi!X30)</f>
        <v>0.620691492373469</v>
      </c>
    </row>
    <row r="1035" ht="12" customHeight="1">
      <c r="B1035" s="538" t="s">
        <v>814</v>
      </c>
    </row>
    <row r="1036" ht="12" customHeight="1">
      <c r="B1036" s="551"/>
    </row>
    <row r="1037" ht="12" customHeight="1">
      <c r="C1037" s="720"/>
    </row>
    <row r="1038" ht="12" customHeight="1">
      <c r="C1038" s="720"/>
    </row>
    <row r="1039" ht="12" customHeight="1">
      <c r="B1039" s="540"/>
    </row>
    <row r="1040" ht="12" customHeight="1">
      <c r="B1040" s="549" t="s">
        <v>813</v>
      </c>
    </row>
    <row r="1041" ht="12" customHeight="1">
      <c r="B1041" s="548" t="s">
        <v>389</v>
      </c>
    </row>
    <row r="1042" spans="2:4" ht="12" customHeight="1">
      <c r="B1042" s="721" t="s">
        <v>390</v>
      </c>
      <c r="C1042" s="707">
        <f>+Bilansi!V36</f>
        <v>5394.75</v>
      </c>
      <c r="D1042" s="536" t="s">
        <v>23</v>
      </c>
    </row>
    <row r="1043" ht="12" customHeight="1">
      <c r="B1043" s="540" t="s">
        <v>237</v>
      </c>
    </row>
    <row r="1045" ht="12" customHeight="1">
      <c r="B1045" s="540"/>
    </row>
    <row r="1046" ht="12" customHeight="1">
      <c r="B1046" s="722" t="s">
        <v>238</v>
      </c>
    </row>
    <row r="1047" spans="2:5" ht="12" customHeight="1">
      <c r="B1047" s="723" t="s">
        <v>1327</v>
      </c>
      <c r="C1047" s="724" t="s">
        <v>816</v>
      </c>
      <c r="D1047" s="725" t="s">
        <v>319</v>
      </c>
      <c r="E1047" s="726" t="s">
        <v>1114</v>
      </c>
    </row>
    <row r="1048" spans="2:5" ht="12" customHeight="1">
      <c r="B1048" s="727"/>
      <c r="C1048" s="723" t="s">
        <v>277</v>
      </c>
      <c r="D1048" s="725" t="s">
        <v>240</v>
      </c>
      <c r="E1048" s="726"/>
    </row>
    <row r="1049" spans="2:5" ht="12" customHeight="1">
      <c r="B1049" s="728"/>
      <c r="C1049" s="728"/>
      <c r="D1049" s="729"/>
      <c r="E1049" s="728"/>
    </row>
    <row r="1050" spans="2:5" ht="12" customHeight="1">
      <c r="B1050" s="726" t="s">
        <v>1329</v>
      </c>
      <c r="C1050" s="727">
        <f>+Bilansi!O7</f>
        <v>20877</v>
      </c>
      <c r="D1050" s="730">
        <f>+E1050-C1050</f>
        <v>-2872.2999999999993</v>
      </c>
      <c r="E1050" s="727">
        <f>+Bilansi!V7</f>
        <v>18004.7</v>
      </c>
    </row>
    <row r="1051" spans="2:5" ht="12" customHeight="1">
      <c r="B1051" s="728" t="s">
        <v>1335</v>
      </c>
      <c r="C1051" s="727">
        <f>+Bilansi!O8</f>
        <v>319</v>
      </c>
      <c r="D1051" s="730">
        <f aca="true" t="shared" si="0" ref="D1051:D1082">+E1051-C1051</f>
        <v>0</v>
      </c>
      <c r="E1051" s="727">
        <f>+Bilansi!V8</f>
        <v>319</v>
      </c>
    </row>
    <row r="1052" spans="2:5" ht="12" customHeight="1">
      <c r="B1052" s="728" t="s">
        <v>82</v>
      </c>
      <c r="C1052" s="727">
        <f>+Bilansi!O9</f>
        <v>16330</v>
      </c>
      <c r="D1052" s="730">
        <f t="shared" si="0"/>
        <v>-2449.5</v>
      </c>
      <c r="E1052" s="727">
        <f>+Bilansi!V9</f>
        <v>13880.5</v>
      </c>
    </row>
    <row r="1053" spans="2:5" ht="12" customHeight="1">
      <c r="B1053" s="731" t="s">
        <v>83</v>
      </c>
      <c r="C1053" s="727">
        <f>+Bilansi!O10</f>
        <v>16330</v>
      </c>
      <c r="D1053" s="730">
        <f t="shared" si="0"/>
        <v>-2449.5</v>
      </c>
      <c r="E1053" s="727">
        <f>+Bilansi!V10</f>
        <v>13880.5</v>
      </c>
    </row>
    <row r="1054" spans="2:5" ht="12" customHeight="1">
      <c r="B1054" s="731" t="s">
        <v>1394</v>
      </c>
      <c r="C1054" s="727">
        <f>+Bilansi!O11</f>
        <v>16309</v>
      </c>
      <c r="D1054" s="730">
        <f t="shared" si="0"/>
        <v>-2446.3500000000004</v>
      </c>
      <c r="E1054" s="727">
        <f>+Bilansi!V11</f>
        <v>13862.65</v>
      </c>
    </row>
    <row r="1055" spans="2:5" ht="12" customHeight="1">
      <c r="B1055" s="731" t="s">
        <v>84</v>
      </c>
      <c r="C1055" s="727">
        <f>+Bilansi!O12</f>
        <v>0</v>
      </c>
      <c r="D1055" s="730">
        <f t="shared" si="0"/>
        <v>0</v>
      </c>
      <c r="E1055" s="727">
        <f>+Bilansi!V12</f>
        <v>0</v>
      </c>
    </row>
    <row r="1056" spans="2:5" ht="12" customHeight="1">
      <c r="B1056" s="728" t="s">
        <v>1330</v>
      </c>
      <c r="C1056" s="727">
        <f>+Bilansi!O13</f>
        <v>4228</v>
      </c>
      <c r="D1056" s="730">
        <f t="shared" si="0"/>
        <v>-422.8000000000002</v>
      </c>
      <c r="E1056" s="727">
        <f>+Bilansi!V13</f>
        <v>3805.2</v>
      </c>
    </row>
    <row r="1057" spans="2:5" ht="12" customHeight="1">
      <c r="B1057" s="731" t="s">
        <v>1336</v>
      </c>
      <c r="C1057" s="727">
        <f>+Bilansi!O14</f>
        <v>4065</v>
      </c>
      <c r="D1057" s="730">
        <f t="shared" si="0"/>
        <v>-406.5</v>
      </c>
      <c r="E1057" s="727">
        <f>+Bilansi!V14</f>
        <v>3658.5</v>
      </c>
    </row>
    <row r="1058" spans="2:5" ht="12" customHeight="1">
      <c r="B1058" s="731" t="s">
        <v>21</v>
      </c>
      <c r="C1058" s="727">
        <f>+Bilansi!O15</f>
        <v>0</v>
      </c>
      <c r="D1058" s="730">
        <f t="shared" si="0"/>
        <v>0</v>
      </c>
      <c r="E1058" s="727">
        <f>+Bilansi!V15</f>
        <v>0</v>
      </c>
    </row>
    <row r="1059" spans="2:5" ht="12" customHeight="1">
      <c r="B1059" s="731" t="s">
        <v>1337</v>
      </c>
      <c r="C1059" s="727">
        <f>+Bilansi!O16</f>
        <v>0</v>
      </c>
      <c r="D1059" s="730">
        <f t="shared" si="0"/>
        <v>0</v>
      </c>
      <c r="E1059" s="727">
        <f>+Bilansi!V16</f>
        <v>0</v>
      </c>
    </row>
    <row r="1060" spans="2:5" ht="12" customHeight="1">
      <c r="B1060" s="731" t="s">
        <v>1351</v>
      </c>
      <c r="C1060" s="727">
        <f>+Bilansi!O17</f>
        <v>0</v>
      </c>
      <c r="D1060" s="730">
        <f t="shared" si="0"/>
        <v>0</v>
      </c>
      <c r="E1060" s="727">
        <f>+Bilansi!V17</f>
        <v>0</v>
      </c>
    </row>
    <row r="1061" spans="2:5" ht="12" customHeight="1">
      <c r="B1061" s="731" t="s">
        <v>1352</v>
      </c>
      <c r="C1061" s="727">
        <f>+Bilansi!O18</f>
        <v>163</v>
      </c>
      <c r="D1061" s="730">
        <f t="shared" si="0"/>
        <v>-16.299999999999983</v>
      </c>
      <c r="E1061" s="727">
        <f>+Bilansi!V18</f>
        <v>146.70000000000002</v>
      </c>
    </row>
    <row r="1062" spans="2:5" ht="12" customHeight="1">
      <c r="B1062" s="728" t="s">
        <v>85</v>
      </c>
      <c r="C1062" s="727">
        <f>+Bilansi!O19</f>
        <v>0</v>
      </c>
      <c r="D1062" s="730">
        <f t="shared" si="0"/>
        <v>0</v>
      </c>
      <c r="E1062" s="727">
        <f>+Bilansi!V19</f>
        <v>0</v>
      </c>
    </row>
    <row r="1063" spans="2:5" ht="12" customHeight="1">
      <c r="B1063" s="726" t="s">
        <v>1331</v>
      </c>
      <c r="C1063" s="727">
        <f>+Bilansi!O20</f>
        <v>46224</v>
      </c>
      <c r="D1063" s="730">
        <f t="shared" si="0"/>
        <v>-23247.27124999999</v>
      </c>
      <c r="E1063" s="727">
        <f>+Bilansi!V20</f>
        <v>22976.72875000001</v>
      </c>
    </row>
    <row r="1064" spans="2:5" ht="12" customHeight="1">
      <c r="B1064" s="728" t="s">
        <v>1419</v>
      </c>
      <c r="C1064" s="727">
        <f>+Bilansi!O21</f>
        <v>0</v>
      </c>
      <c r="D1064" s="730">
        <f t="shared" si="0"/>
        <v>0</v>
      </c>
      <c r="E1064" s="727">
        <f>+Bilansi!V21</f>
        <v>0</v>
      </c>
    </row>
    <row r="1065" spans="2:5" ht="12" customHeight="1">
      <c r="B1065" s="731" t="s">
        <v>1338</v>
      </c>
      <c r="C1065" s="727">
        <f>+Bilansi!O22</f>
        <v>0</v>
      </c>
      <c r="D1065" s="730">
        <f t="shared" si="0"/>
        <v>0</v>
      </c>
      <c r="E1065" s="727">
        <f>+Bilansi!V22</f>
        <v>0</v>
      </c>
    </row>
    <row r="1066" spans="2:5" ht="12" customHeight="1">
      <c r="B1066" s="732" t="s">
        <v>1339</v>
      </c>
      <c r="C1066" s="727">
        <f>+Bilansi!O23</f>
        <v>0</v>
      </c>
      <c r="D1066" s="730">
        <f t="shared" si="0"/>
        <v>0</v>
      </c>
      <c r="E1066" s="727">
        <f>+Bilansi!V23</f>
        <v>0</v>
      </c>
    </row>
    <row r="1067" spans="2:5" ht="12" customHeight="1">
      <c r="B1067" s="728" t="s">
        <v>301</v>
      </c>
      <c r="C1067" s="727">
        <f>+Bilansi!O24</f>
        <v>39031</v>
      </c>
      <c r="D1067" s="730">
        <f t="shared" si="0"/>
        <v>-21449.02124999999</v>
      </c>
      <c r="E1067" s="727">
        <f>+Bilansi!V24</f>
        <v>17581.97875000001</v>
      </c>
    </row>
    <row r="1068" spans="2:5" ht="12" customHeight="1">
      <c r="B1068" s="731" t="s">
        <v>1338</v>
      </c>
      <c r="C1068" s="727">
        <f>+Bilansi!O25</f>
        <v>155983</v>
      </c>
      <c r="D1068" s="730">
        <f t="shared" si="0"/>
        <v>-21449.02124999999</v>
      </c>
      <c r="E1068" s="727">
        <f>+Bilansi!V25</f>
        <v>134533.97875</v>
      </c>
    </row>
    <row r="1069" spans="2:5" ht="12" customHeight="1">
      <c r="B1069" s="732" t="s">
        <v>1339</v>
      </c>
      <c r="C1069" s="727">
        <f>+Bilansi!O26</f>
        <v>116952</v>
      </c>
      <c r="D1069" s="730">
        <f t="shared" si="0"/>
        <v>0</v>
      </c>
      <c r="E1069" s="727">
        <f>+Bilansi!V26</f>
        <v>116952</v>
      </c>
    </row>
    <row r="1070" spans="2:5" ht="12" customHeight="1">
      <c r="B1070" s="728" t="s">
        <v>302</v>
      </c>
      <c r="C1070" s="727">
        <f>+Bilansi!O27</f>
        <v>2251</v>
      </c>
      <c r="D1070" s="730">
        <f t="shared" si="0"/>
        <v>4588.0504</v>
      </c>
      <c r="E1070" s="727">
        <f>+Bilansi!V27</f>
        <v>6839.0504</v>
      </c>
    </row>
    <row r="1071" spans="2:5" ht="12" customHeight="1">
      <c r="B1071" s="731" t="s">
        <v>1338</v>
      </c>
      <c r="C1071" s="727">
        <f>+Bilansi!O28</f>
        <v>10649</v>
      </c>
      <c r="D1071" s="730">
        <f t="shared" si="0"/>
        <v>4588.0504</v>
      </c>
      <c r="E1071" s="727">
        <f>+Bilansi!V28</f>
        <v>15237.0504</v>
      </c>
    </row>
    <row r="1072" spans="2:5" ht="12" customHeight="1">
      <c r="B1072" s="732" t="s">
        <v>1339</v>
      </c>
      <c r="C1072" s="727">
        <f>+Bilansi!O29</f>
        <v>8398</v>
      </c>
      <c r="D1072" s="730">
        <f t="shared" si="0"/>
        <v>0</v>
      </c>
      <c r="E1072" s="727">
        <f>+Bilansi!V29</f>
        <v>8398</v>
      </c>
    </row>
    <row r="1073" spans="2:5" ht="12" customHeight="1">
      <c r="B1073" s="733" t="s">
        <v>303</v>
      </c>
      <c r="C1073" s="727">
        <f>+Bilansi!O30</f>
        <v>17308</v>
      </c>
      <c r="D1073" s="730">
        <f t="shared" si="0"/>
        <v>-6565.071649999998</v>
      </c>
      <c r="E1073" s="727">
        <f>+Bilansi!V30</f>
        <v>10742.928350000002</v>
      </c>
    </row>
    <row r="1074" spans="2:5" ht="12" customHeight="1">
      <c r="B1074" s="731" t="s">
        <v>1338</v>
      </c>
      <c r="C1074" s="727">
        <f>+Bilansi!O31</f>
        <v>125862</v>
      </c>
      <c r="D1074" s="730">
        <f t="shared" si="0"/>
        <v>-6565.071649999998</v>
      </c>
      <c r="E1074" s="727">
        <f>+Bilansi!V31</f>
        <v>119296.92835</v>
      </c>
    </row>
    <row r="1075" spans="2:5" ht="12" customHeight="1">
      <c r="B1075" s="732" t="s">
        <v>1339</v>
      </c>
      <c r="C1075" s="727">
        <f>+Bilansi!O32</f>
        <v>108554</v>
      </c>
      <c r="D1075" s="730">
        <f t="shared" si="0"/>
        <v>0</v>
      </c>
      <c r="E1075" s="727">
        <f>+Bilansi!V32</f>
        <v>108554</v>
      </c>
    </row>
    <row r="1076" spans="2:5" ht="12" customHeight="1">
      <c r="B1076" s="732" t="s">
        <v>307</v>
      </c>
      <c r="C1076" s="727">
        <f>+Bilansi!O33</f>
        <v>19472</v>
      </c>
      <c r="D1076" s="730">
        <f t="shared" si="0"/>
        <v>-19472</v>
      </c>
      <c r="E1076" s="727">
        <f>+Bilansi!V33</f>
        <v>0</v>
      </c>
    </row>
    <row r="1077" spans="2:5" ht="12" customHeight="1">
      <c r="B1077" s="732" t="s">
        <v>1299</v>
      </c>
      <c r="C1077" s="727">
        <f>+Bilansi!O34</f>
        <v>0</v>
      </c>
      <c r="D1077" s="730">
        <f t="shared" si="0"/>
        <v>0</v>
      </c>
      <c r="E1077" s="727">
        <f>+Bilansi!V34</f>
        <v>0</v>
      </c>
    </row>
    <row r="1078" spans="2:5" ht="12" customHeight="1">
      <c r="B1078" s="732" t="s">
        <v>325</v>
      </c>
      <c r="C1078" s="727">
        <f>+Bilansi!O35</f>
        <v>0</v>
      </c>
      <c r="D1078" s="730">
        <f t="shared" si="0"/>
        <v>0</v>
      </c>
      <c r="E1078" s="727">
        <f>+Bilansi!V35</f>
        <v>0</v>
      </c>
    </row>
    <row r="1079" spans="2:5" ht="12" customHeight="1">
      <c r="B1079" s="728" t="s">
        <v>1198</v>
      </c>
      <c r="C1079" s="727">
        <f>+Bilansi!O36</f>
        <v>7193</v>
      </c>
      <c r="D1079" s="730">
        <f t="shared" si="0"/>
        <v>-1798.25</v>
      </c>
      <c r="E1079" s="727">
        <f>+Bilansi!V36</f>
        <v>5394.75</v>
      </c>
    </row>
    <row r="1080" spans="2:5" ht="12" customHeight="1">
      <c r="B1080" s="726" t="s">
        <v>1333</v>
      </c>
      <c r="C1080" s="727">
        <f>+Bilansi!O38</f>
        <v>67101</v>
      </c>
      <c r="D1080" s="730">
        <f t="shared" si="0"/>
        <v>-26119.571249999994</v>
      </c>
      <c r="E1080" s="727">
        <f>+Bilansi!V38</f>
        <v>40981.42875000001</v>
      </c>
    </row>
    <row r="1081" spans="2:5" ht="12" customHeight="1">
      <c r="B1081" s="726" t="s">
        <v>1340</v>
      </c>
      <c r="C1081" s="727">
        <f>+Bilansi!O39</f>
        <v>0</v>
      </c>
      <c r="D1081" s="730">
        <f t="shared" si="0"/>
        <v>0</v>
      </c>
      <c r="E1081" s="727">
        <f>+Bilansi!V39</f>
        <v>0</v>
      </c>
    </row>
    <row r="1082" spans="2:5" ht="12" customHeight="1">
      <c r="B1082" s="726" t="s">
        <v>1334</v>
      </c>
      <c r="C1082" s="727">
        <f>+Bilansi!O40</f>
        <v>67101</v>
      </c>
      <c r="D1082" s="730">
        <f t="shared" si="0"/>
        <v>-26119.571249999994</v>
      </c>
      <c r="E1082" s="727">
        <f>+Bilansi!V40</f>
        <v>40981.42875000001</v>
      </c>
    </row>
    <row r="1083" ht="12" customHeight="1">
      <c r="B1083" s="537"/>
    </row>
    <row r="1084" ht="12" customHeight="1">
      <c r="B1084" s="537" t="s">
        <v>391</v>
      </c>
    </row>
    <row r="1085" ht="12" customHeight="1">
      <c r="B1085" s="537"/>
    </row>
    <row r="1086" ht="12" customHeight="1">
      <c r="B1086" s="606" t="s">
        <v>819</v>
      </c>
    </row>
    <row r="1087" ht="12" customHeight="1">
      <c r="B1087" s="552" t="s">
        <v>820</v>
      </c>
    </row>
    <row r="1088" ht="12" customHeight="1">
      <c r="B1088" s="552" t="s">
        <v>817</v>
      </c>
    </row>
    <row r="1089" ht="12" customHeight="1">
      <c r="B1089" s="552" t="s">
        <v>818</v>
      </c>
    </row>
    <row r="1092" ht="12" customHeight="1">
      <c r="B1092" s="549" t="s">
        <v>242</v>
      </c>
    </row>
    <row r="1093" spans="2:4" ht="12" customHeight="1" thickBot="1">
      <c r="B1093" s="544"/>
      <c r="D1093" s="536" t="s">
        <v>277</v>
      </c>
    </row>
    <row r="1094" spans="2:5" ht="12" customHeight="1" thickTop="1">
      <c r="B1094" s="734" t="s">
        <v>1327</v>
      </c>
      <c r="C1094" s="735" t="s">
        <v>317</v>
      </c>
      <c r="D1094" s="666" t="s">
        <v>319</v>
      </c>
      <c r="E1094" s="655" t="s">
        <v>239</v>
      </c>
    </row>
    <row r="1095" spans="2:5" ht="12" customHeight="1">
      <c r="B1095" s="736"/>
      <c r="C1095" s="607" t="s">
        <v>318</v>
      </c>
      <c r="D1095" s="667" t="s">
        <v>240</v>
      </c>
      <c r="E1095" s="658" t="s">
        <v>241</v>
      </c>
    </row>
    <row r="1096" spans="2:5" ht="12" customHeight="1">
      <c r="B1096" s="559"/>
      <c r="C1096" s="404"/>
      <c r="D1096" s="667"/>
      <c r="E1096" s="661"/>
    </row>
    <row r="1097" spans="2:5" ht="12" customHeight="1">
      <c r="B1097" s="559" t="s">
        <v>1341</v>
      </c>
      <c r="C1097" s="406">
        <f>+Bilansi!O48</f>
        <v>17790</v>
      </c>
      <c r="D1097" s="737">
        <f>+C1097-E1097</f>
        <v>0</v>
      </c>
      <c r="E1097" s="670">
        <f>+Bilansi!T48</f>
        <v>17790</v>
      </c>
    </row>
    <row r="1098" spans="2:5" ht="12" customHeight="1">
      <c r="B1098" s="559" t="s">
        <v>74</v>
      </c>
      <c r="C1098" s="406">
        <f>+Bilansi!O49</f>
        <v>17790</v>
      </c>
      <c r="D1098" s="737">
        <f aca="true" t="shared" si="1" ref="D1098:D1105">+C1098-E1098</f>
        <v>0</v>
      </c>
      <c r="E1098" s="670">
        <f>+Bilansi!T49</f>
        <v>17790</v>
      </c>
    </row>
    <row r="1099" spans="2:5" ht="12" customHeight="1">
      <c r="B1099" s="559" t="s">
        <v>75</v>
      </c>
      <c r="C1099" s="406">
        <f>+Bilansi!O50</f>
        <v>0</v>
      </c>
      <c r="D1099" s="737">
        <f t="shared" si="1"/>
        <v>0</v>
      </c>
      <c r="E1099" s="670">
        <f>+Bilansi!T50</f>
        <v>0</v>
      </c>
    </row>
    <row r="1100" spans="2:5" ht="12" customHeight="1">
      <c r="B1100" s="559" t="s">
        <v>76</v>
      </c>
      <c r="C1100" s="406">
        <f>+Bilansi!O51</f>
        <v>9762</v>
      </c>
      <c r="D1100" s="737">
        <f t="shared" si="1"/>
        <v>0</v>
      </c>
      <c r="E1100" s="670">
        <f>+Bilansi!T51</f>
        <v>9762</v>
      </c>
    </row>
    <row r="1101" spans="2:5" ht="12" customHeight="1">
      <c r="B1101" s="559" t="s">
        <v>1342</v>
      </c>
      <c r="C1101" s="406">
        <f>+Bilansi!O52</f>
        <v>1891</v>
      </c>
      <c r="D1101" s="737">
        <f t="shared" si="1"/>
        <v>0</v>
      </c>
      <c r="E1101" s="670">
        <f>+Bilansi!T52</f>
        <v>1891</v>
      </c>
    </row>
    <row r="1102" spans="2:5" ht="12" customHeight="1">
      <c r="B1102" s="559" t="s">
        <v>77</v>
      </c>
      <c r="C1102" s="406">
        <f>+Bilansi!O53</f>
        <v>6137</v>
      </c>
      <c r="D1102" s="737">
        <f t="shared" si="1"/>
        <v>0</v>
      </c>
      <c r="E1102" s="670">
        <f>+Bilansi!T53</f>
        <v>6137</v>
      </c>
    </row>
    <row r="1103" spans="2:5" ht="12" customHeight="1">
      <c r="B1103" s="559" t="s">
        <v>78</v>
      </c>
      <c r="C1103" s="406">
        <f>+Bilansi!O54</f>
        <v>0</v>
      </c>
      <c r="D1103" s="737">
        <f t="shared" si="1"/>
        <v>0</v>
      </c>
      <c r="E1103" s="670">
        <f>+Bilansi!T54</f>
        <v>0</v>
      </c>
    </row>
    <row r="1104" spans="2:5" ht="12" customHeight="1">
      <c r="B1104" s="559" t="s">
        <v>79</v>
      </c>
      <c r="C1104" s="406">
        <f>+Bilansi!O55</f>
        <v>0</v>
      </c>
      <c r="D1104" s="737">
        <f t="shared" si="1"/>
        <v>0</v>
      </c>
      <c r="E1104" s="670">
        <f>+Bilansi!T55</f>
        <v>0</v>
      </c>
    </row>
    <row r="1105" spans="2:5" ht="12" customHeight="1" thickBot="1">
      <c r="B1105" s="738" t="s">
        <v>80</v>
      </c>
      <c r="C1105" s="739">
        <f>+Bilansi!O56</f>
        <v>4480</v>
      </c>
      <c r="D1105" s="740">
        <f t="shared" si="1"/>
        <v>0</v>
      </c>
      <c r="E1105" s="672">
        <f>+Bilansi!T56</f>
        <v>4480</v>
      </c>
    </row>
    <row r="1106" ht="12" customHeight="1" thickTop="1">
      <c r="B1106" s="601"/>
    </row>
    <row r="1107" ht="12" customHeight="1">
      <c r="B1107" s="549" t="s">
        <v>821</v>
      </c>
    </row>
    <row r="1108" ht="12" customHeight="1">
      <c r="B1108" s="538" t="s">
        <v>822</v>
      </c>
    </row>
    <row r="1109" ht="12" customHeight="1" thickBot="1">
      <c r="B1109" s="540"/>
    </row>
    <row r="1110" spans="2:7" ht="12" customHeight="1" thickTop="1">
      <c r="B1110" s="741" t="s">
        <v>1147</v>
      </c>
      <c r="C1110" s="742" t="s">
        <v>1148</v>
      </c>
      <c r="D1110" s="742" t="s">
        <v>1149</v>
      </c>
      <c r="E1110" s="743" t="s">
        <v>1150</v>
      </c>
      <c r="F1110" s="743" t="s">
        <v>1151</v>
      </c>
      <c r="G1110" s="744" t="s">
        <v>1152</v>
      </c>
    </row>
    <row r="1111" spans="2:7" ht="12" customHeight="1">
      <c r="B1111" s="745" t="s">
        <v>1153</v>
      </c>
      <c r="C1111" s="746"/>
      <c r="D1111" s="621"/>
      <c r="E1111" s="747"/>
      <c r="F1111" s="748"/>
      <c r="G1111" s="749"/>
    </row>
    <row r="1112" spans="2:7" ht="12" customHeight="1">
      <c r="B1112" s="745" t="s">
        <v>1154</v>
      </c>
      <c r="C1112" s="746" t="s">
        <v>1155</v>
      </c>
      <c r="D1112" s="750" t="str">
        <f>+Likvid!C7</f>
        <v>1</v>
      </c>
      <c r="E1112" s="751">
        <f>+Likvid!D7</f>
        <v>32000</v>
      </c>
      <c r="F1112" s="750">
        <f>+Likvid!E7</f>
        <v>15</v>
      </c>
      <c r="G1112" s="752">
        <f>+Likvid!F7</f>
        <v>480000</v>
      </c>
    </row>
    <row r="1113" spans="2:7" ht="12" customHeight="1">
      <c r="B1113" s="745" t="s">
        <v>1156</v>
      </c>
      <c r="C1113" s="746" t="s">
        <v>1157</v>
      </c>
      <c r="D1113" s="750">
        <f>+Likvid!C8</f>
        <v>2</v>
      </c>
      <c r="E1113" s="751">
        <f>+Likvid!D8</f>
        <v>16000</v>
      </c>
      <c r="F1113" s="750">
        <f>+Likvid!E8</f>
        <v>15</v>
      </c>
      <c r="G1113" s="752">
        <f>+Likvid!F8</f>
        <v>480000</v>
      </c>
    </row>
    <row r="1114" spans="2:7" ht="12" customHeight="1">
      <c r="B1114" s="745" t="s">
        <v>1158</v>
      </c>
      <c r="C1114" s="746" t="s">
        <v>1159</v>
      </c>
      <c r="D1114" s="750">
        <f>+Likvid!C9</f>
        <v>3</v>
      </c>
      <c r="E1114" s="751">
        <f>+Likvid!D9</f>
        <v>20000</v>
      </c>
      <c r="F1114" s="750">
        <f>+Likvid!E9</f>
        <v>15</v>
      </c>
      <c r="G1114" s="752">
        <f>+Likvid!F9</f>
        <v>900000</v>
      </c>
    </row>
    <row r="1115" spans="2:7" ht="12" customHeight="1">
      <c r="B1115" s="745" t="s">
        <v>1160</v>
      </c>
      <c r="C1115" s="746" t="s">
        <v>1161</v>
      </c>
      <c r="D1115" s="750">
        <f>+Likvid!C10</f>
        <v>3</v>
      </c>
      <c r="E1115" s="751">
        <f>+Likvid!D10</f>
        <v>5000</v>
      </c>
      <c r="F1115" s="750">
        <f>+Likvid!E10</f>
        <v>15</v>
      </c>
      <c r="G1115" s="752">
        <f>+Likvid!F10</f>
        <v>225000</v>
      </c>
    </row>
    <row r="1116" spans="2:7" ht="12" customHeight="1">
      <c r="B1116" s="745" t="s">
        <v>1162</v>
      </c>
      <c r="C1116" s="746" t="s">
        <v>1163</v>
      </c>
      <c r="D1116" s="750"/>
      <c r="E1116" s="751">
        <f>+Likvid!D11</f>
        <v>20000</v>
      </c>
      <c r="F1116" s="750">
        <f>+Likvid!E11</f>
        <v>7.5</v>
      </c>
      <c r="G1116" s="752">
        <f>+Likvid!F11</f>
        <v>150000</v>
      </c>
    </row>
    <row r="1117" spans="2:7" ht="12" customHeight="1">
      <c r="B1117" s="745" t="s">
        <v>1164</v>
      </c>
      <c r="C1117" s="746" t="s">
        <v>1165</v>
      </c>
      <c r="D1117" s="750"/>
      <c r="E1117" s="751">
        <f>+Likvid!D12</f>
        <v>5000</v>
      </c>
      <c r="F1117" s="750">
        <f>+Likvid!E12</f>
        <v>15</v>
      </c>
      <c r="G1117" s="752">
        <f>+Likvid!F12</f>
        <v>75000</v>
      </c>
    </row>
    <row r="1118" spans="2:7" ht="12" customHeight="1">
      <c r="B1118" s="745" t="s">
        <v>1166</v>
      </c>
      <c r="C1118" s="746" t="s">
        <v>1167</v>
      </c>
      <c r="D1118" s="750"/>
      <c r="E1118" s="751">
        <f>+Likvid!D13</f>
        <v>15000</v>
      </c>
      <c r="F1118" s="750">
        <f>+Likvid!E13</f>
        <v>15</v>
      </c>
      <c r="G1118" s="752">
        <f>+Likvid!F13</f>
        <v>225000</v>
      </c>
    </row>
    <row r="1119" spans="2:7" ht="12" customHeight="1">
      <c r="B1119" s="745" t="s">
        <v>1168</v>
      </c>
      <c r="C1119" s="746" t="s">
        <v>1169</v>
      </c>
      <c r="D1119" s="750"/>
      <c r="E1119" s="751">
        <f>+Likvid!D14</f>
        <v>20000</v>
      </c>
      <c r="F1119" s="750">
        <f>+Likvid!E14</f>
        <v>15</v>
      </c>
      <c r="G1119" s="752">
        <f>+Likvid!F14</f>
        <v>300000</v>
      </c>
    </row>
    <row r="1120" spans="2:7" ht="12" customHeight="1">
      <c r="B1120" s="745"/>
      <c r="C1120" s="746"/>
      <c r="D1120" s="746"/>
      <c r="E1120" s="751"/>
      <c r="F1120" s="753"/>
      <c r="G1120" s="752">
        <f>+Likvid!F15</f>
        <v>2835000</v>
      </c>
    </row>
    <row r="1121" spans="2:7" ht="12" customHeight="1">
      <c r="B1121" s="745" t="s">
        <v>1170</v>
      </c>
      <c r="C1121" s="746"/>
      <c r="D1121" s="746"/>
      <c r="E1121" s="751"/>
      <c r="F1121" s="753"/>
      <c r="G1121" s="752"/>
    </row>
    <row r="1122" spans="2:7" ht="12" customHeight="1">
      <c r="B1122" s="745" t="s">
        <v>1171</v>
      </c>
      <c r="C1122" s="746" t="s">
        <v>1172</v>
      </c>
      <c r="D1122" s="746"/>
      <c r="E1122" s="751">
        <f>+Likvid!D17</f>
        <v>20000</v>
      </c>
      <c r="F1122" s="750">
        <f>+Likvid!E17</f>
        <v>15</v>
      </c>
      <c r="G1122" s="752">
        <f>+Likvid!F17</f>
        <v>300000</v>
      </c>
    </row>
    <row r="1123" spans="2:7" ht="12" customHeight="1">
      <c r="B1123" s="745" t="s">
        <v>1173</v>
      </c>
      <c r="C1123" s="746" t="s">
        <v>1174</v>
      </c>
      <c r="D1123" s="746"/>
      <c r="E1123" s="751">
        <f>+Likvid!D18</f>
        <v>6000</v>
      </c>
      <c r="F1123" s="750">
        <f>+Likvid!E18</f>
        <v>15</v>
      </c>
      <c r="G1123" s="752">
        <f>+Likvid!F18</f>
        <v>90000</v>
      </c>
    </row>
    <row r="1124" spans="2:7" ht="12" customHeight="1">
      <c r="B1124" s="745" t="s">
        <v>1175</v>
      </c>
      <c r="C1124" s="746" t="s">
        <v>1176</v>
      </c>
      <c r="D1124" s="746"/>
      <c r="E1124" s="751">
        <f>+Likvid!D19</f>
        <v>20191.8472827975</v>
      </c>
      <c r="F1124" s="750">
        <f>+Likvid!E19</f>
        <v>15</v>
      </c>
      <c r="G1124" s="752">
        <f>+Likvid!F19</f>
        <v>302877.70924196247</v>
      </c>
    </row>
    <row r="1125" spans="2:7" ht="12" customHeight="1">
      <c r="B1125" s="745" t="s">
        <v>1177</v>
      </c>
      <c r="C1125" s="746" t="s">
        <v>1178</v>
      </c>
      <c r="D1125" s="746"/>
      <c r="E1125" s="751">
        <f>+Likvid!D20</f>
        <v>9000</v>
      </c>
      <c r="F1125" s="750">
        <f>+Likvid!E20</f>
        <v>15</v>
      </c>
      <c r="G1125" s="752">
        <f>+Likvid!F20</f>
        <v>135000</v>
      </c>
    </row>
    <row r="1126" spans="2:7" ht="12" customHeight="1">
      <c r="B1126" s="745"/>
      <c r="C1126" s="746"/>
      <c r="D1126" s="746"/>
      <c r="E1126" s="747"/>
      <c r="F1126" s="748"/>
      <c r="G1126" s="752">
        <f>+Likvid!F21</f>
        <v>827877.7092419625</v>
      </c>
    </row>
    <row r="1127" spans="2:7" ht="12" customHeight="1" thickBot="1">
      <c r="B1127" s="754" t="s">
        <v>1179</v>
      </c>
      <c r="C1127" s="755"/>
      <c r="D1127" s="755"/>
      <c r="E1127" s="756"/>
      <c r="F1127" s="757"/>
      <c r="G1127" s="758">
        <f>+Likvid!F22</f>
        <v>3662877.7092419625</v>
      </c>
    </row>
    <row r="1128" ht="12" customHeight="1" thickTop="1">
      <c r="B1128" s="540"/>
    </row>
    <row r="1129" ht="12" customHeight="1">
      <c r="B1129" s="540"/>
    </row>
    <row r="1130" ht="12" customHeight="1">
      <c r="B1130" s="540"/>
    </row>
    <row r="1131" ht="12" customHeight="1">
      <c r="B1131" s="537"/>
    </row>
    <row r="1132" ht="12" customHeight="1">
      <c r="B1132" s="537" t="s">
        <v>392</v>
      </c>
    </row>
    <row r="1133" ht="12" customHeight="1">
      <c r="B1133" s="540"/>
    </row>
    <row r="1134" ht="12" customHeight="1">
      <c r="B1134" s="538" t="s">
        <v>243</v>
      </c>
    </row>
    <row r="1135" ht="12" customHeight="1">
      <c r="B1135" s="540"/>
    </row>
    <row r="1136" ht="12" customHeight="1" thickBot="1">
      <c r="B1136" s="549" t="s">
        <v>244</v>
      </c>
    </row>
    <row r="1137" spans="2:3" ht="12" customHeight="1" thickTop="1">
      <c r="B1137" s="759" t="s">
        <v>1276</v>
      </c>
      <c r="C1137" s="760" t="s">
        <v>245</v>
      </c>
    </row>
    <row r="1138" spans="2:3" ht="12" customHeight="1">
      <c r="B1138" s="761"/>
      <c r="C1138" s="762"/>
    </row>
    <row r="1139" spans="2:3" ht="12" customHeight="1">
      <c r="B1139" s="761" t="s">
        <v>1321</v>
      </c>
      <c r="C1139" s="763">
        <f>+E1082</f>
        <v>40981.42875000001</v>
      </c>
    </row>
    <row r="1140" spans="2:3" ht="12" customHeight="1">
      <c r="B1140" s="761"/>
      <c r="C1140" s="763"/>
    </row>
    <row r="1141" spans="2:3" ht="12" customHeight="1">
      <c r="B1141" s="761" t="s">
        <v>1322</v>
      </c>
      <c r="C1141" s="763">
        <f>+E1097</f>
        <v>17790</v>
      </c>
    </row>
    <row r="1142" spans="2:3" ht="12" customHeight="1">
      <c r="B1142" s="761" t="s">
        <v>1460</v>
      </c>
      <c r="C1142" s="763">
        <f>+G1127/1000</f>
        <v>3662.8777092419627</v>
      </c>
    </row>
    <row r="1143" spans="2:3" ht="12" customHeight="1">
      <c r="B1143" s="761"/>
      <c r="C1143" s="763"/>
    </row>
    <row r="1144" spans="2:3" ht="12" customHeight="1" thickBot="1">
      <c r="B1144" s="764" t="s">
        <v>1323</v>
      </c>
      <c r="C1144" s="765">
        <f>+C1139-C1141-C1142</f>
        <v>19528.551040758044</v>
      </c>
    </row>
    <row r="1145" ht="12" customHeight="1" thickTop="1">
      <c r="B1145" s="540"/>
    </row>
    <row r="1146" ht="12" customHeight="1">
      <c r="B1146" s="544"/>
    </row>
    <row r="1147" ht="12" customHeight="1">
      <c r="B1147" s="549" t="s">
        <v>823</v>
      </c>
    </row>
    <row r="1148" ht="12" customHeight="1">
      <c r="B1148" s="766">
        <f>+C1144</f>
        <v>19528.551040758044</v>
      </c>
    </row>
    <row r="1149" ht="12" customHeight="1">
      <c r="B1149" s="767" t="s">
        <v>824</v>
      </c>
    </row>
    <row r="1151" ht="12" customHeight="1">
      <c r="B1151" s="537"/>
    </row>
    <row r="1152" ht="12" customHeight="1">
      <c r="B1152" s="541" t="s">
        <v>393</v>
      </c>
    </row>
    <row r="1153" ht="12" customHeight="1">
      <c r="B1153" s="537"/>
    </row>
    <row r="1154" ht="12" customHeight="1">
      <c r="B1154" s="537"/>
    </row>
    <row r="1155" ht="12" customHeight="1">
      <c r="B1155" s="538" t="s">
        <v>825</v>
      </c>
    </row>
    <row r="1156" ht="12" customHeight="1">
      <c r="B1156" s="538" t="s">
        <v>826</v>
      </c>
    </row>
    <row r="1157" ht="12" customHeight="1">
      <c r="B1157" s="551" t="s">
        <v>827</v>
      </c>
    </row>
    <row r="1159" ht="12" customHeight="1">
      <c r="B1159" s="601"/>
    </row>
    <row r="1160" ht="12" customHeight="1">
      <c r="B1160" s="578" t="s">
        <v>394</v>
      </c>
    </row>
    <row r="1161" ht="12" customHeight="1" thickBot="1">
      <c r="B1161" s="601" t="s">
        <v>1280</v>
      </c>
    </row>
    <row r="1162" spans="2:3" ht="12" customHeight="1" thickTop="1">
      <c r="B1162" s="768" t="s">
        <v>395</v>
      </c>
      <c r="C1162" s="769" t="e">
        <f>+Meni!#REF!/1000</f>
        <v>#REF!</v>
      </c>
    </row>
    <row r="1163" spans="2:3" ht="12" customHeight="1">
      <c r="B1163" s="770" t="s">
        <v>396</v>
      </c>
      <c r="C1163" s="771" t="e">
        <f>+Meni!#REF!/1000</f>
        <v>#REF!</v>
      </c>
    </row>
    <row r="1164" ht="12" customHeight="1">
      <c r="B1164" s="601"/>
    </row>
    <row r="1165" ht="12" customHeight="1">
      <c r="B1165" s="601"/>
    </row>
    <row r="1166" ht="12" customHeight="1">
      <c r="B1166" s="601"/>
    </row>
    <row r="1167" ht="12" customHeight="1">
      <c r="B1167" s="578" t="s">
        <v>828</v>
      </c>
    </row>
    <row r="1168" ht="12" customHeight="1" thickBot="1">
      <c r="B1168" s="601" t="s">
        <v>1280</v>
      </c>
    </row>
    <row r="1169" spans="2:3" ht="12" customHeight="1" thickTop="1">
      <c r="B1169" s="768" t="s">
        <v>1324</v>
      </c>
      <c r="C1169" s="769">
        <f>+Meni!J5/1000</f>
        <v>21165.618070043394</v>
      </c>
    </row>
    <row r="1170" spans="2:3" ht="12" customHeight="1">
      <c r="B1170" s="770" t="s">
        <v>1325</v>
      </c>
      <c r="C1170" s="771">
        <f>+Meni!J4/1000</f>
        <v>36537.53666509597</v>
      </c>
    </row>
    <row r="1171" spans="2:3" ht="12" customHeight="1" thickBot="1">
      <c r="B1171" s="772" t="s">
        <v>1326</v>
      </c>
      <c r="C1171" s="773">
        <f>+Meni!J3/1000</f>
        <v>26854.971080271796</v>
      </c>
    </row>
    <row r="1172" ht="12" customHeight="1" thickTop="1">
      <c r="B1172" s="601"/>
    </row>
    <row r="1173" ht="12" customHeight="1">
      <c r="B1173" s="540"/>
    </row>
    <row r="1174" ht="12" customHeight="1">
      <c r="B1174" s="578" t="s">
        <v>829</v>
      </c>
    </row>
    <row r="1175" ht="12" customHeight="1" thickBot="1">
      <c r="B1175" s="601" t="s">
        <v>1280</v>
      </c>
    </row>
    <row r="1176" spans="2:3" ht="12" customHeight="1" thickTop="1">
      <c r="B1176" s="768" t="s">
        <v>1324</v>
      </c>
      <c r="C1176" s="769">
        <f>+Meni!J8/1000</f>
        <v>16273.792533965036</v>
      </c>
    </row>
    <row r="1177" spans="2:3" ht="12" customHeight="1">
      <c r="B1177" s="770" t="s">
        <v>1325</v>
      </c>
      <c r="C1177" s="771">
        <f>+Meni!J7/1000</f>
        <v>23434.261248909654</v>
      </c>
    </row>
    <row r="1178" spans="2:3" ht="12" customHeight="1" thickBot="1">
      <c r="B1178" s="772" t="s">
        <v>1326</v>
      </c>
      <c r="C1178" s="773">
        <f>+Meni!J6/1000</f>
        <v>19528.551040758044</v>
      </c>
    </row>
    <row r="1179" ht="12" customHeight="1" thickTop="1">
      <c r="B1179" s="540"/>
    </row>
    <row r="1181" ht="12" customHeight="1">
      <c r="B1181" s="568" t="s">
        <v>1462</v>
      </c>
    </row>
    <row r="1182" spans="2:3" ht="12" customHeight="1">
      <c r="B1182" s="774">
        <f>+Meni!J18</f>
        <v>21165618.070043392</v>
      </c>
      <c r="C1182" s="536" t="s">
        <v>871</v>
      </c>
    </row>
    <row r="1183" ht="12" customHeight="1">
      <c r="B1183" s="536" t="s">
        <v>830</v>
      </c>
    </row>
    <row r="1184" ht="12" customHeight="1">
      <c r="B1184" s="774">
        <f>+Meni!J19</f>
        <v>36537536.66509597</v>
      </c>
    </row>
    <row r="1185" spans="2:3" ht="12" customHeight="1">
      <c r="B1185" s="540" t="s">
        <v>1184</v>
      </c>
      <c r="C1185" s="536" t="s">
        <v>1461</v>
      </c>
    </row>
    <row r="1186" ht="12" customHeight="1">
      <c r="B1186" s="540" t="s">
        <v>831</v>
      </c>
    </row>
    <row r="1187" spans="2:3" ht="12" customHeight="1">
      <c r="B1187" s="775">
        <f>+B1182/1000</f>
        <v>21165.618070043394</v>
      </c>
      <c r="C1187" s="536" t="s">
        <v>832</v>
      </c>
    </row>
    <row r="1188" ht="12" customHeight="1">
      <c r="B1188" s="540" t="s">
        <v>830</v>
      </c>
    </row>
    <row r="1189" spans="2:3" ht="12" customHeight="1">
      <c r="B1189" s="775">
        <f>+B1184/1000</f>
        <v>36537.53666509597</v>
      </c>
      <c r="C1189" s="536" t="s">
        <v>833</v>
      </c>
    </row>
    <row r="1190" ht="12" customHeight="1">
      <c r="B1190" s="540"/>
    </row>
    <row r="1191" ht="12" customHeight="1">
      <c r="B1191" s="540"/>
    </row>
    <row r="1192" ht="12" customHeight="1">
      <c r="B1192" s="540"/>
    </row>
    <row r="1193" ht="12" customHeight="1">
      <c r="B1193" s="540"/>
    </row>
    <row r="1194" ht="12" customHeight="1">
      <c r="B1194" s="540"/>
    </row>
    <row r="1195" ht="12" customHeight="1">
      <c r="B1195" s="578" t="s">
        <v>1185</v>
      </c>
    </row>
    <row r="1196" ht="12" customHeight="1" thickBot="1">
      <c r="B1196" s="578"/>
    </row>
    <row r="1197" spans="2:3" ht="12" customHeight="1" thickBot="1" thickTop="1">
      <c r="B1197" s="776" t="s">
        <v>1186</v>
      </c>
      <c r="C1197" s="777" t="s">
        <v>1187</v>
      </c>
    </row>
    <row r="1198" spans="2:3" ht="12" customHeight="1" thickBot="1" thickTop="1">
      <c r="B1198" s="778" t="s">
        <v>1188</v>
      </c>
      <c r="C1198" s="779">
        <f>100-C1199</f>
        <v>100</v>
      </c>
    </row>
    <row r="1199" spans="2:3" ht="12" customHeight="1" thickBot="1">
      <c r="B1199" s="778" t="s">
        <v>1189</v>
      </c>
      <c r="C1199" s="779">
        <v>0</v>
      </c>
    </row>
    <row r="1200" spans="2:3" ht="12" customHeight="1" thickBot="1">
      <c r="B1200" s="780" t="s">
        <v>1190</v>
      </c>
      <c r="C1200" s="781" t="s">
        <v>1191</v>
      </c>
    </row>
    <row r="1201" ht="12" customHeight="1" thickTop="1"/>
    <row r="1204" ht="12" customHeight="1">
      <c r="B1204" s="568"/>
    </row>
    <row r="1205" ht="12" customHeight="1">
      <c r="B1205" s="568"/>
    </row>
  </sheetData>
  <sheetProtection/>
  <mergeCells count="21">
    <mergeCell ref="B305:B306"/>
    <mergeCell ref="C305:G305"/>
    <mergeCell ref="B331:B332"/>
    <mergeCell ref="C331:G331"/>
    <mergeCell ref="B321:B322"/>
    <mergeCell ref="C321:H321"/>
    <mergeCell ref="B419:B420"/>
    <mergeCell ref="C419:G419"/>
    <mergeCell ref="B440:B441"/>
    <mergeCell ref="C440:G440"/>
    <mergeCell ref="B365:B366"/>
    <mergeCell ref="C365:G365"/>
    <mergeCell ref="B393:B394"/>
    <mergeCell ref="C393:G393"/>
    <mergeCell ref="D547:H547"/>
    <mergeCell ref="C672:G672"/>
    <mergeCell ref="B467:B468"/>
    <mergeCell ref="C467:G467"/>
    <mergeCell ref="B524:B525"/>
    <mergeCell ref="C524:G524"/>
    <mergeCell ref="C501:G50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6.00390625" style="0" customWidth="1"/>
    <col min="2" max="2" width="31.421875" style="0" customWidth="1"/>
    <col min="4" max="4" width="15.421875" style="177" customWidth="1"/>
    <col min="5" max="5" width="15.421875" style="257" customWidth="1"/>
    <col min="6" max="6" width="18.7109375" style="177" customWidth="1"/>
  </cols>
  <sheetData>
    <row r="1" spans="1:6" ht="15.75">
      <c r="A1" s="210" t="s">
        <v>1146</v>
      </c>
      <c r="B1" s="211"/>
      <c r="C1" s="211"/>
      <c r="D1" s="212"/>
      <c r="E1" s="213"/>
      <c r="F1" s="212"/>
    </row>
    <row r="2" spans="1:6" ht="15.75">
      <c r="A2" s="210"/>
      <c r="B2" s="211"/>
      <c r="C2" s="211"/>
      <c r="D2" s="212"/>
      <c r="E2" s="213"/>
      <c r="F2" s="212"/>
    </row>
    <row r="3" spans="1:6" ht="15">
      <c r="A3" s="214"/>
      <c r="B3" s="211"/>
      <c r="C3" s="211"/>
      <c r="D3" s="212"/>
      <c r="E3" s="213"/>
      <c r="F3" s="212"/>
    </row>
    <row r="4" spans="1:6" ht="15.75" thickBot="1">
      <c r="A4" s="214"/>
      <c r="B4" s="211"/>
      <c r="C4" s="211"/>
      <c r="D4" s="212"/>
      <c r="E4" s="213"/>
      <c r="F4" s="212"/>
    </row>
    <row r="5" spans="1:6" ht="17.25" thickBot="1" thickTop="1">
      <c r="A5" s="215" t="s">
        <v>1147</v>
      </c>
      <c r="B5" s="216" t="s">
        <v>1148</v>
      </c>
      <c r="C5" s="216" t="s">
        <v>1149</v>
      </c>
      <c r="D5" s="217" t="s">
        <v>1150</v>
      </c>
      <c r="E5" s="217" t="s">
        <v>1151</v>
      </c>
      <c r="F5" s="218" t="s">
        <v>1152</v>
      </c>
    </row>
    <row r="6" spans="1:6" ht="17.25" thickBot="1" thickTop="1">
      <c r="A6" s="219" t="s">
        <v>1153</v>
      </c>
      <c r="B6" s="220"/>
      <c r="D6" s="221"/>
      <c r="E6" s="222"/>
      <c r="F6" s="223"/>
    </row>
    <row r="7" spans="1:6" ht="15.75" thickBot="1">
      <c r="A7" s="224" t="s">
        <v>1154</v>
      </c>
      <c r="B7" s="225" t="s">
        <v>1155</v>
      </c>
      <c r="C7" s="226" t="s">
        <v>842</v>
      </c>
      <c r="D7" s="227">
        <v>32000</v>
      </c>
      <c r="E7" s="228">
        <v>15</v>
      </c>
      <c r="F7" s="229">
        <f>+C7*D7*E7</f>
        <v>480000</v>
      </c>
    </row>
    <row r="8" spans="1:6" ht="15.75" thickBot="1">
      <c r="A8" s="224" t="s">
        <v>1156</v>
      </c>
      <c r="B8" s="225" t="s">
        <v>1157</v>
      </c>
      <c r="C8" s="226">
        <v>2</v>
      </c>
      <c r="D8" s="227">
        <v>16000</v>
      </c>
      <c r="E8" s="228">
        <f>+E$7</f>
        <v>15</v>
      </c>
      <c r="F8" s="229">
        <f>+C8*D8*E8</f>
        <v>480000</v>
      </c>
    </row>
    <row r="9" spans="1:6" ht="15.75" thickBot="1">
      <c r="A9" s="224" t="s">
        <v>1158</v>
      </c>
      <c r="B9" s="225" t="s">
        <v>1159</v>
      </c>
      <c r="C9" s="226">
        <v>3</v>
      </c>
      <c r="D9" s="227">
        <v>20000</v>
      </c>
      <c r="E9" s="228">
        <f>+E$7</f>
        <v>15</v>
      </c>
      <c r="F9" s="229">
        <f>+C9*D9*E9</f>
        <v>900000</v>
      </c>
    </row>
    <row r="10" spans="1:6" ht="15.75" thickBot="1">
      <c r="A10" s="224" t="s">
        <v>1160</v>
      </c>
      <c r="B10" s="225" t="s">
        <v>1161</v>
      </c>
      <c r="C10" s="226">
        <v>3</v>
      </c>
      <c r="D10" s="227">
        <v>5000</v>
      </c>
      <c r="E10" s="228">
        <f>+E$7</f>
        <v>15</v>
      </c>
      <c r="F10" s="229">
        <f>+C10*D10*E10</f>
        <v>225000</v>
      </c>
    </row>
    <row r="11" spans="1:6" ht="15.75" thickBot="1">
      <c r="A11" s="224" t="s">
        <v>1162</v>
      </c>
      <c r="B11" s="225" t="s">
        <v>1163</v>
      </c>
      <c r="C11" s="226"/>
      <c r="D11" s="227">
        <v>20000</v>
      </c>
      <c r="E11" s="228">
        <f>+E7/2</f>
        <v>7.5</v>
      </c>
      <c r="F11" s="229">
        <f>+D11*E11</f>
        <v>150000</v>
      </c>
    </row>
    <row r="12" spans="1:6" ht="15.75" thickBot="1">
      <c r="A12" s="224" t="s">
        <v>1164</v>
      </c>
      <c r="B12" s="225" t="s">
        <v>1165</v>
      </c>
      <c r="C12" s="226"/>
      <c r="D12" s="227">
        <v>5000</v>
      </c>
      <c r="E12" s="228">
        <f>+E$7</f>
        <v>15</v>
      </c>
      <c r="F12" s="229">
        <f>+D12*E12</f>
        <v>75000</v>
      </c>
    </row>
    <row r="13" spans="1:6" ht="15.75" thickBot="1">
      <c r="A13" s="230" t="s">
        <v>1166</v>
      </c>
      <c r="B13" s="231" t="s">
        <v>1167</v>
      </c>
      <c r="C13" s="232"/>
      <c r="D13" s="233">
        <v>15000</v>
      </c>
      <c r="E13" s="228">
        <f>+E$7</f>
        <v>15</v>
      </c>
      <c r="F13" s="229">
        <f>+D13*E13</f>
        <v>225000</v>
      </c>
    </row>
    <row r="14" spans="1:6" ht="15.75" thickBot="1">
      <c r="A14" s="234" t="s">
        <v>1168</v>
      </c>
      <c r="B14" s="235" t="s">
        <v>1169</v>
      </c>
      <c r="C14" s="236"/>
      <c r="D14" s="237">
        <v>20000</v>
      </c>
      <c r="E14" s="228">
        <f>+E$7</f>
        <v>15</v>
      </c>
      <c r="F14" s="229">
        <f>+D14*E14</f>
        <v>300000</v>
      </c>
    </row>
    <row r="15" spans="1:6" ht="17.25" thickBot="1" thickTop="1">
      <c r="A15" s="238"/>
      <c r="B15" s="239"/>
      <c r="C15" s="239"/>
      <c r="D15" s="240"/>
      <c r="E15" s="241"/>
      <c r="F15" s="242">
        <f>SUM(F7:F14)</f>
        <v>2835000</v>
      </c>
    </row>
    <row r="16" spans="1:6" ht="16.5" thickBot="1">
      <c r="A16" s="243" t="s">
        <v>1170</v>
      </c>
      <c r="B16" s="244"/>
      <c r="C16" s="244"/>
      <c r="D16" s="245"/>
      <c r="E16" s="246"/>
      <c r="F16" s="247"/>
    </row>
    <row r="17" spans="1:6" ht="15.75" thickBot="1">
      <c r="A17" s="224" t="s">
        <v>1171</v>
      </c>
      <c r="B17" s="225" t="s">
        <v>1172</v>
      </c>
      <c r="C17" s="225"/>
      <c r="D17" s="248">
        <v>20000</v>
      </c>
      <c r="E17" s="228">
        <f>+E$7</f>
        <v>15</v>
      </c>
      <c r="F17" s="229">
        <f>+D17*E17</f>
        <v>300000</v>
      </c>
    </row>
    <row r="18" spans="1:6" ht="15.75" thickBot="1">
      <c r="A18" s="224" t="s">
        <v>1173</v>
      </c>
      <c r="B18" s="225" t="s">
        <v>1174</v>
      </c>
      <c r="C18" s="225"/>
      <c r="D18" s="248">
        <v>6000</v>
      </c>
      <c r="E18" s="228">
        <f>+E$7</f>
        <v>15</v>
      </c>
      <c r="F18" s="229">
        <f>+D18*E18</f>
        <v>90000</v>
      </c>
    </row>
    <row r="19" spans="1:6" ht="15.75" thickBot="1">
      <c r="A19" s="230" t="s">
        <v>1175</v>
      </c>
      <c r="B19" s="231" t="s">
        <v>1176</v>
      </c>
      <c r="C19" s="231"/>
      <c r="D19" s="249">
        <f>+'[1]Bilans'!G56*0.5</f>
        <v>20191.8472827975</v>
      </c>
      <c r="E19" s="228">
        <f>+E$7</f>
        <v>15</v>
      </c>
      <c r="F19" s="229">
        <f>+D19*E19</f>
        <v>302877.70924196247</v>
      </c>
    </row>
    <row r="20" spans="1:6" ht="15.75" thickBot="1">
      <c r="A20" s="234" t="s">
        <v>1177</v>
      </c>
      <c r="B20" s="235" t="s">
        <v>1178</v>
      </c>
      <c r="C20" s="235"/>
      <c r="D20" s="250">
        <v>9000</v>
      </c>
      <c r="E20" s="228">
        <f>+E$7</f>
        <v>15</v>
      </c>
      <c r="F20" s="229">
        <f>+D20*E20</f>
        <v>135000</v>
      </c>
    </row>
    <row r="21" spans="1:6" ht="17.25" thickBot="1" thickTop="1">
      <c r="A21" s="238"/>
      <c r="B21" s="239"/>
      <c r="C21" s="239"/>
      <c r="D21" s="240"/>
      <c r="E21" s="251"/>
      <c r="F21" s="242">
        <f>SUM(F17:F20)</f>
        <v>827877.7092419625</v>
      </c>
    </row>
    <row r="22" spans="1:6" ht="16.5" thickBot="1">
      <c r="A22" s="252" t="s">
        <v>1179</v>
      </c>
      <c r="B22" s="253"/>
      <c r="C22" s="253"/>
      <c r="D22" s="254"/>
      <c r="E22" s="255"/>
      <c r="F22" s="256">
        <f>+F15+F21</f>
        <v>3662877.7092419625</v>
      </c>
    </row>
    <row r="23" ht="13.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385"/>
  <sheetViews>
    <sheetView zoomScalePageLayoutView="0" workbookViewId="0" topLeftCell="A202">
      <pane xSplit="3" topLeftCell="D1" activePane="topRight" state="frozen"/>
      <selection pane="topLeft" activeCell="A187" sqref="A187"/>
      <selection pane="topRight" activeCell="B124" sqref="B124"/>
    </sheetView>
  </sheetViews>
  <sheetFormatPr defaultColWidth="9.140625" defaultRowHeight="12.75"/>
  <cols>
    <col min="1" max="1" width="13.7109375" style="166" customWidth="1"/>
    <col min="2" max="2" width="44.28125" style="166" customWidth="1"/>
    <col min="3" max="3" width="12.28125" style="166" customWidth="1"/>
    <col min="4" max="4" width="15.57421875" style="370" customWidth="1"/>
    <col min="5" max="5" width="14.57421875" style="370" customWidth="1"/>
    <col min="6" max="6" width="12.28125" style="370" customWidth="1"/>
    <col min="7" max="7" width="9.140625" style="370" customWidth="1"/>
    <col min="8" max="8" width="15.57421875" style="370" customWidth="1"/>
    <col min="9" max="9" width="14.57421875" style="370" customWidth="1"/>
    <col min="10" max="10" width="12.28125" style="370" customWidth="1"/>
    <col min="11" max="11" width="9.140625" style="258" customWidth="1"/>
    <col min="12" max="12" width="15.57421875" style="370" customWidth="1"/>
    <col min="13" max="13" width="14.57421875" style="370" customWidth="1"/>
    <col min="14" max="14" width="12.28125" style="370" customWidth="1"/>
    <col min="15" max="15" width="9.140625" style="258" customWidth="1"/>
    <col min="16" max="16" width="12.7109375" style="258" customWidth="1"/>
    <col min="17" max="17" width="15.00390625" style="258" customWidth="1"/>
    <col min="18" max="18" width="12.00390625" style="258" customWidth="1"/>
    <col min="19" max="19" width="9.140625" style="258" customWidth="1"/>
    <col min="20" max="20" width="14.28125" style="258" customWidth="1"/>
    <col min="21" max="21" width="13.8515625" style="258" customWidth="1"/>
    <col min="22" max="22" width="13.57421875" style="258" customWidth="1"/>
    <col min="23" max="23" width="9.140625" style="258" customWidth="1"/>
    <col min="24" max="24" width="14.28125" style="258" customWidth="1"/>
    <col min="25" max="25" width="13.8515625" style="258" customWidth="1"/>
    <col min="26" max="26" width="13.57421875" style="370" customWidth="1"/>
    <col min="27" max="89" width="9.140625" style="370" customWidth="1"/>
    <col min="90" max="16384" width="9.140625" style="166" customWidth="1"/>
  </cols>
  <sheetData>
    <row r="1" spans="1:26" ht="12.75">
      <c r="A1" s="367" t="s">
        <v>417</v>
      </c>
      <c r="B1" s="368" t="s">
        <v>1495</v>
      </c>
      <c r="C1" s="878"/>
      <c r="D1" s="981"/>
      <c r="E1" s="981"/>
      <c r="F1" s="981">
        <f>+F63-F118</f>
        <v>0</v>
      </c>
      <c r="G1" s="896"/>
      <c r="H1" s="981"/>
      <c r="I1" s="981"/>
      <c r="J1" s="981">
        <f>+J63-J118</f>
        <v>0</v>
      </c>
      <c r="K1" s="982"/>
      <c r="L1" s="981"/>
      <c r="M1" s="981"/>
      <c r="N1" s="981">
        <f>+N63-N118</f>
        <v>0</v>
      </c>
      <c r="O1" s="982"/>
      <c r="P1" s="982"/>
      <c r="Q1" s="982"/>
      <c r="R1" s="982">
        <f>+R63-R118</f>
        <v>0</v>
      </c>
      <c r="S1" s="982"/>
      <c r="T1" s="982"/>
      <c r="U1" s="982"/>
      <c r="V1" s="982">
        <f>+V63-V118</f>
        <v>0</v>
      </c>
      <c r="W1" s="982"/>
      <c r="X1" s="982"/>
      <c r="Y1" s="982"/>
      <c r="Z1" s="982">
        <f>+Z63-Z118</f>
        <v>0</v>
      </c>
    </row>
    <row r="2" spans="1:26" ht="12.75">
      <c r="A2" s="367" t="s">
        <v>418</v>
      </c>
      <c r="B2" s="371">
        <v>2002</v>
      </c>
      <c r="C2" s="878"/>
      <c r="D2" s="896"/>
      <c r="E2" s="896"/>
      <c r="F2" s="896"/>
      <c r="G2" s="896"/>
      <c r="H2" s="896"/>
      <c r="I2" s="896"/>
      <c r="J2" s="896"/>
      <c r="K2" s="982"/>
      <c r="L2" s="896"/>
      <c r="M2" s="896"/>
      <c r="N2" s="896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27"/>
    </row>
    <row r="3" spans="1:26" ht="12.75">
      <c r="A3" s="367" t="s">
        <v>419</v>
      </c>
      <c r="B3" s="367" t="s">
        <v>420</v>
      </c>
      <c r="C3" s="879"/>
      <c r="D3" s="896"/>
      <c r="E3" s="896"/>
      <c r="F3" s="896"/>
      <c r="G3" s="896"/>
      <c r="H3" s="896"/>
      <c r="I3" s="896"/>
      <c r="J3" s="896"/>
      <c r="K3" s="982"/>
      <c r="L3" s="896"/>
      <c r="M3" s="896"/>
      <c r="N3" s="896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27"/>
    </row>
    <row r="4" spans="1:26" ht="12.75">
      <c r="A4" s="367"/>
      <c r="B4" s="367"/>
      <c r="C4" s="879"/>
      <c r="D4" s="983" t="s">
        <v>421</v>
      </c>
      <c r="E4" s="903"/>
      <c r="F4" s="903"/>
      <c r="G4" s="896"/>
      <c r="H4" s="983" t="s">
        <v>421</v>
      </c>
      <c r="I4" s="903"/>
      <c r="J4" s="903"/>
      <c r="K4" s="982"/>
      <c r="L4" s="983" t="s">
        <v>421</v>
      </c>
      <c r="M4" s="903"/>
      <c r="N4" s="903"/>
      <c r="O4" s="982"/>
      <c r="P4" s="982" t="s">
        <v>421</v>
      </c>
      <c r="Q4" s="982"/>
      <c r="R4" s="982"/>
      <c r="S4" s="982"/>
      <c r="T4" s="982" t="s">
        <v>421</v>
      </c>
      <c r="U4" s="982"/>
      <c r="V4" s="982"/>
      <c r="W4" s="982"/>
      <c r="X4" s="982" t="s">
        <v>421</v>
      </c>
      <c r="Y4" s="982"/>
      <c r="Z4" s="927"/>
    </row>
    <row r="5" spans="1:26" ht="13.5" thickBot="1">
      <c r="A5" s="372" t="s">
        <v>802</v>
      </c>
      <c r="B5" s="372"/>
      <c r="C5" s="880"/>
      <c r="D5" s="984"/>
      <c r="E5" s="984"/>
      <c r="F5" s="984"/>
      <c r="G5" s="896"/>
      <c r="H5" s="984"/>
      <c r="I5" s="984"/>
      <c r="J5" s="984"/>
      <c r="K5" s="982"/>
      <c r="L5" s="984"/>
      <c r="M5" s="984"/>
      <c r="N5" s="984"/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27"/>
    </row>
    <row r="6" spans="1:27" s="638" customFormat="1" ht="13.5" thickTop="1">
      <c r="A6" s="881"/>
      <c r="B6" s="881"/>
      <c r="C6" s="882"/>
      <c r="D6" s="883"/>
      <c r="E6" s="884"/>
      <c r="F6" s="885" t="s">
        <v>1302</v>
      </c>
      <c r="G6" s="886"/>
      <c r="H6" s="883"/>
      <c r="I6" s="884"/>
      <c r="J6" s="885" t="s">
        <v>765</v>
      </c>
      <c r="K6" s="982"/>
      <c r="L6" s="883"/>
      <c r="M6" s="884"/>
      <c r="N6" s="885" t="s">
        <v>766</v>
      </c>
      <c r="O6" s="982"/>
      <c r="P6" s="883"/>
      <c r="Q6" s="884"/>
      <c r="R6" s="885" t="s">
        <v>767</v>
      </c>
      <c r="S6" s="982"/>
      <c r="T6" s="883"/>
      <c r="U6" s="884"/>
      <c r="V6" s="885" t="s">
        <v>768</v>
      </c>
      <c r="W6" s="982"/>
      <c r="X6" s="883"/>
      <c r="Y6" s="884"/>
      <c r="Z6" s="885" t="s">
        <v>769</v>
      </c>
      <c r="AA6" s="370"/>
    </row>
    <row r="7" spans="1:26" ht="12.75">
      <c r="A7" s="373" t="s">
        <v>422</v>
      </c>
      <c r="B7" s="374" t="s">
        <v>423</v>
      </c>
      <c r="C7" s="375" t="s">
        <v>424</v>
      </c>
      <c r="D7" s="887" t="s">
        <v>425</v>
      </c>
      <c r="E7" s="888" t="s">
        <v>1454</v>
      </c>
      <c r="F7" s="889" t="s">
        <v>426</v>
      </c>
      <c r="G7" s="886"/>
      <c r="H7" s="887" t="s">
        <v>425</v>
      </c>
      <c r="I7" s="888" t="s">
        <v>1454</v>
      </c>
      <c r="J7" s="889" t="s">
        <v>426</v>
      </c>
      <c r="K7" s="982"/>
      <c r="L7" s="887" t="s">
        <v>425</v>
      </c>
      <c r="M7" s="888" t="s">
        <v>1454</v>
      </c>
      <c r="N7" s="889" t="s">
        <v>426</v>
      </c>
      <c r="O7" s="982"/>
      <c r="P7" s="887" t="s">
        <v>425</v>
      </c>
      <c r="Q7" s="888" t="s">
        <v>1454</v>
      </c>
      <c r="R7" s="889" t="s">
        <v>426</v>
      </c>
      <c r="S7" s="982"/>
      <c r="T7" s="887" t="s">
        <v>425</v>
      </c>
      <c r="U7" s="888" t="s">
        <v>1454</v>
      </c>
      <c r="V7" s="889" t="s">
        <v>426</v>
      </c>
      <c r="W7" s="982"/>
      <c r="X7" s="887" t="s">
        <v>425</v>
      </c>
      <c r="Y7" s="888" t="s">
        <v>1454</v>
      </c>
      <c r="Z7" s="889" t="s">
        <v>426</v>
      </c>
    </row>
    <row r="8" spans="1:26" ht="13.5" thickBot="1">
      <c r="A8" s="343">
        <v>1</v>
      </c>
      <c r="B8" s="344">
        <v>2</v>
      </c>
      <c r="C8" s="345">
        <v>3</v>
      </c>
      <c r="D8" s="890">
        <v>4</v>
      </c>
      <c r="E8" s="891">
        <v>5</v>
      </c>
      <c r="F8" s="892">
        <v>6</v>
      </c>
      <c r="G8" s="886"/>
      <c r="H8" s="890">
        <v>4</v>
      </c>
      <c r="I8" s="891">
        <v>5</v>
      </c>
      <c r="J8" s="892">
        <v>6</v>
      </c>
      <c r="K8" s="982"/>
      <c r="L8" s="890">
        <v>4</v>
      </c>
      <c r="M8" s="891">
        <v>5</v>
      </c>
      <c r="N8" s="892">
        <v>6</v>
      </c>
      <c r="O8" s="982"/>
      <c r="P8" s="890">
        <v>4</v>
      </c>
      <c r="Q8" s="891">
        <v>5</v>
      </c>
      <c r="R8" s="892">
        <v>6</v>
      </c>
      <c r="S8" s="982"/>
      <c r="T8" s="890">
        <v>4</v>
      </c>
      <c r="U8" s="891">
        <v>5</v>
      </c>
      <c r="V8" s="892">
        <v>6</v>
      </c>
      <c r="W8" s="982"/>
      <c r="X8" s="890">
        <v>4</v>
      </c>
      <c r="Y8" s="891">
        <v>5</v>
      </c>
      <c r="Z8" s="892">
        <v>6</v>
      </c>
    </row>
    <row r="9" spans="1:26" ht="25.5">
      <c r="A9" s="349" t="s">
        <v>427</v>
      </c>
      <c r="B9" s="347" t="s">
        <v>1490</v>
      </c>
      <c r="C9" s="348" t="s">
        <v>428</v>
      </c>
      <c r="D9" s="893"/>
      <c r="E9" s="894"/>
      <c r="F9" s="895">
        <f aca="true" t="shared" si="0" ref="F9:F64">+D9-E9</f>
        <v>0</v>
      </c>
      <c r="G9" s="896"/>
      <c r="H9" s="893"/>
      <c r="I9" s="894"/>
      <c r="J9" s="895">
        <f aca="true" t="shared" si="1" ref="J9:J64">+H9-I9</f>
        <v>0</v>
      </c>
      <c r="K9" s="896"/>
      <c r="L9" s="893"/>
      <c r="M9" s="894"/>
      <c r="N9" s="895">
        <f aca="true" t="shared" si="2" ref="N9:N64">+L9-M9</f>
        <v>0</v>
      </c>
      <c r="O9" s="982"/>
      <c r="P9" s="893"/>
      <c r="Q9" s="894"/>
      <c r="R9" s="895">
        <f aca="true" t="shared" si="3" ref="R9:R64">+P9-Q9</f>
        <v>0</v>
      </c>
      <c r="S9" s="982"/>
      <c r="T9" s="893"/>
      <c r="U9" s="894"/>
      <c r="V9" s="895">
        <f aca="true" t="shared" si="4" ref="V9:V64">+T9-U9</f>
        <v>0</v>
      </c>
      <c r="W9" s="982"/>
      <c r="X9" s="893"/>
      <c r="Y9" s="894"/>
      <c r="Z9" s="895">
        <f aca="true" t="shared" si="5" ref="Z9:Z64">+X9-Y9</f>
        <v>0</v>
      </c>
    </row>
    <row r="10" spans="1:26" ht="12.75">
      <c r="A10" s="349"/>
      <c r="B10" s="376" t="s">
        <v>429</v>
      </c>
      <c r="C10" s="350" t="s">
        <v>430</v>
      </c>
      <c r="D10" s="897">
        <f>+D11+D17+D25</f>
        <v>163176</v>
      </c>
      <c r="E10" s="898">
        <f>+E11+E17+E25</f>
        <v>116952</v>
      </c>
      <c r="F10" s="899">
        <f t="shared" si="0"/>
        <v>46224</v>
      </c>
      <c r="G10" s="896"/>
      <c r="H10" s="897">
        <f>+H11+H17+H25</f>
        <v>132881</v>
      </c>
      <c r="I10" s="898">
        <f>+I11+I17+I25</f>
        <v>95140</v>
      </c>
      <c r="J10" s="899">
        <f t="shared" si="1"/>
        <v>37741</v>
      </c>
      <c r="K10" s="896"/>
      <c r="L10" s="897">
        <f>+L11+L17+L25</f>
        <v>94011</v>
      </c>
      <c r="M10" s="898">
        <f>+M11+M17+M25</f>
        <v>62348</v>
      </c>
      <c r="N10" s="899">
        <f t="shared" si="2"/>
        <v>31663</v>
      </c>
      <c r="O10" s="982"/>
      <c r="P10" s="897">
        <f>+P11+P17+P25</f>
        <v>43703</v>
      </c>
      <c r="Q10" s="898">
        <f>+Q11+Q17+Q25</f>
        <v>27526</v>
      </c>
      <c r="R10" s="899">
        <f t="shared" si="3"/>
        <v>16177</v>
      </c>
      <c r="S10" s="982"/>
      <c r="T10" s="897">
        <f>+T11+T17+T25</f>
        <v>27951</v>
      </c>
      <c r="U10" s="898">
        <f>+U11+U17+U25</f>
        <v>16796</v>
      </c>
      <c r="V10" s="899">
        <f t="shared" si="4"/>
        <v>11155</v>
      </c>
      <c r="W10" s="982"/>
      <c r="X10" s="897">
        <f>+X11+X17+X25</f>
        <v>17716</v>
      </c>
      <c r="Y10" s="898">
        <f>+Y11+Y17+Y25</f>
        <v>9949</v>
      </c>
      <c r="Z10" s="899">
        <f t="shared" si="5"/>
        <v>7767</v>
      </c>
    </row>
    <row r="11" spans="1:26" ht="12.75">
      <c r="A11" s="351"/>
      <c r="B11" s="352" t="s">
        <v>431</v>
      </c>
      <c r="C11" s="353" t="s">
        <v>432</v>
      </c>
      <c r="D11" s="897">
        <f>SUM(D12:D16)</f>
        <v>0</v>
      </c>
      <c r="E11" s="898">
        <f>SUM(E12:E16)</f>
        <v>0</v>
      </c>
      <c r="F11" s="899">
        <f t="shared" si="0"/>
        <v>0</v>
      </c>
      <c r="G11" s="896"/>
      <c r="H11" s="897">
        <f>SUM(H12:H16)</f>
        <v>0</v>
      </c>
      <c r="I11" s="898">
        <f>SUM(I12:I16)</f>
        <v>0</v>
      </c>
      <c r="J11" s="899">
        <f t="shared" si="1"/>
        <v>0</v>
      </c>
      <c r="K11" s="896"/>
      <c r="L11" s="897">
        <f>SUM(L12:L16)</f>
        <v>0</v>
      </c>
      <c r="M11" s="898">
        <f>SUM(M12:M16)</f>
        <v>0</v>
      </c>
      <c r="N11" s="899">
        <f t="shared" si="2"/>
        <v>0</v>
      </c>
      <c r="O11" s="982"/>
      <c r="P11" s="897">
        <f>SUM(P12:P16)</f>
        <v>0</v>
      </c>
      <c r="Q11" s="898">
        <f>SUM(Q12:Q16)</f>
        <v>0</v>
      </c>
      <c r="R11" s="899">
        <f t="shared" si="3"/>
        <v>0</v>
      </c>
      <c r="S11" s="982"/>
      <c r="T11" s="897">
        <f>SUM(T12:T16)</f>
        <v>0</v>
      </c>
      <c r="U11" s="898">
        <f>SUM(U12:U16)</f>
        <v>0</v>
      </c>
      <c r="V11" s="899">
        <f t="shared" si="4"/>
        <v>0</v>
      </c>
      <c r="W11" s="982"/>
      <c r="X11" s="897">
        <f>SUM(X12:X16)</f>
        <v>0</v>
      </c>
      <c r="Y11" s="898">
        <f>SUM(Y12:Y16)</f>
        <v>0</v>
      </c>
      <c r="Z11" s="899">
        <f t="shared" si="5"/>
        <v>0</v>
      </c>
    </row>
    <row r="12" spans="1:26" ht="12.75">
      <c r="A12" s="351" t="s">
        <v>56</v>
      </c>
      <c r="B12" s="354" t="s">
        <v>433</v>
      </c>
      <c r="C12" s="355" t="s">
        <v>434</v>
      </c>
      <c r="D12" s="893"/>
      <c r="E12" s="894"/>
      <c r="F12" s="895">
        <f t="shared" si="0"/>
        <v>0</v>
      </c>
      <c r="G12" s="896"/>
      <c r="H12" s="893"/>
      <c r="I12" s="894"/>
      <c r="J12" s="895">
        <f t="shared" si="1"/>
        <v>0</v>
      </c>
      <c r="K12" s="896"/>
      <c r="L12" s="893"/>
      <c r="M12" s="894"/>
      <c r="N12" s="895">
        <f t="shared" si="2"/>
        <v>0</v>
      </c>
      <c r="O12" s="982"/>
      <c r="P12" s="893"/>
      <c r="Q12" s="894"/>
      <c r="R12" s="895">
        <f t="shared" si="3"/>
        <v>0</v>
      </c>
      <c r="S12" s="982"/>
      <c r="T12" s="893"/>
      <c r="U12" s="894"/>
      <c r="V12" s="895">
        <f t="shared" si="4"/>
        <v>0</v>
      </c>
      <c r="W12" s="982"/>
      <c r="X12" s="893"/>
      <c r="Y12" s="894"/>
      <c r="Z12" s="895">
        <f t="shared" si="5"/>
        <v>0</v>
      </c>
    </row>
    <row r="13" spans="1:26" ht="12.75">
      <c r="A13" s="351" t="s">
        <v>435</v>
      </c>
      <c r="B13" s="354" t="s">
        <v>436</v>
      </c>
      <c r="C13" s="348" t="s">
        <v>437</v>
      </c>
      <c r="D13" s="893"/>
      <c r="E13" s="894"/>
      <c r="F13" s="895">
        <f t="shared" si="0"/>
        <v>0</v>
      </c>
      <c r="G13" s="896"/>
      <c r="H13" s="893"/>
      <c r="I13" s="894"/>
      <c r="J13" s="895">
        <f t="shared" si="1"/>
        <v>0</v>
      </c>
      <c r="K13" s="896"/>
      <c r="L13" s="893"/>
      <c r="M13" s="894"/>
      <c r="N13" s="895">
        <f t="shared" si="2"/>
        <v>0</v>
      </c>
      <c r="O13" s="982"/>
      <c r="P13" s="893"/>
      <c r="Q13" s="894"/>
      <c r="R13" s="895">
        <f t="shared" si="3"/>
        <v>0</v>
      </c>
      <c r="S13" s="982"/>
      <c r="T13" s="893"/>
      <c r="U13" s="894"/>
      <c r="V13" s="895">
        <f t="shared" si="4"/>
        <v>0</v>
      </c>
      <c r="W13" s="982"/>
      <c r="X13" s="893"/>
      <c r="Y13" s="894"/>
      <c r="Z13" s="895">
        <f t="shared" si="5"/>
        <v>0</v>
      </c>
    </row>
    <row r="14" spans="1:26" ht="12.75">
      <c r="A14" s="351" t="s">
        <v>594</v>
      </c>
      <c r="B14" s="377" t="s">
        <v>438</v>
      </c>
      <c r="C14" s="355" t="s">
        <v>439</v>
      </c>
      <c r="D14" s="893"/>
      <c r="E14" s="894"/>
      <c r="F14" s="895">
        <f t="shared" si="0"/>
        <v>0</v>
      </c>
      <c r="G14" s="896"/>
      <c r="H14" s="893"/>
      <c r="I14" s="894"/>
      <c r="J14" s="895">
        <f t="shared" si="1"/>
        <v>0</v>
      </c>
      <c r="K14" s="896"/>
      <c r="L14" s="893"/>
      <c r="M14" s="894"/>
      <c r="N14" s="895">
        <f t="shared" si="2"/>
        <v>0</v>
      </c>
      <c r="O14" s="982"/>
      <c r="P14" s="893"/>
      <c r="Q14" s="894"/>
      <c r="R14" s="895">
        <f t="shared" si="3"/>
        <v>0</v>
      </c>
      <c r="S14" s="982"/>
      <c r="T14" s="893"/>
      <c r="U14" s="894"/>
      <c r="V14" s="895">
        <f t="shared" si="4"/>
        <v>0</v>
      </c>
      <c r="W14" s="982"/>
      <c r="X14" s="893"/>
      <c r="Y14" s="894"/>
      <c r="Z14" s="895">
        <f t="shared" si="5"/>
        <v>0</v>
      </c>
    </row>
    <row r="15" spans="1:26" ht="12.75">
      <c r="A15" s="351" t="s">
        <v>595</v>
      </c>
      <c r="B15" s="377" t="s">
        <v>440</v>
      </c>
      <c r="C15" s="348" t="s">
        <v>441</v>
      </c>
      <c r="D15" s="893"/>
      <c r="E15" s="894"/>
      <c r="F15" s="895">
        <f t="shared" si="0"/>
        <v>0</v>
      </c>
      <c r="G15" s="896"/>
      <c r="H15" s="893"/>
      <c r="I15" s="894"/>
      <c r="J15" s="895">
        <f t="shared" si="1"/>
        <v>0</v>
      </c>
      <c r="K15" s="896"/>
      <c r="L15" s="893"/>
      <c r="M15" s="894"/>
      <c r="N15" s="895">
        <f t="shared" si="2"/>
        <v>0</v>
      </c>
      <c r="O15" s="982"/>
      <c r="P15" s="893"/>
      <c r="Q15" s="894"/>
      <c r="R15" s="895">
        <f t="shared" si="3"/>
        <v>0</v>
      </c>
      <c r="S15" s="982"/>
      <c r="T15" s="893"/>
      <c r="U15" s="894"/>
      <c r="V15" s="895">
        <f t="shared" si="4"/>
        <v>0</v>
      </c>
      <c r="W15" s="982"/>
      <c r="X15" s="893"/>
      <c r="Y15" s="894"/>
      <c r="Z15" s="895">
        <f t="shared" si="5"/>
        <v>0</v>
      </c>
    </row>
    <row r="16" spans="1:26" ht="12.75">
      <c r="A16" s="351" t="s">
        <v>442</v>
      </c>
      <c r="B16" s="377" t="s">
        <v>443</v>
      </c>
      <c r="C16" s="355" t="s">
        <v>444</v>
      </c>
      <c r="D16" s="893"/>
      <c r="E16" s="894"/>
      <c r="F16" s="895">
        <f t="shared" si="0"/>
        <v>0</v>
      </c>
      <c r="G16" s="896"/>
      <c r="H16" s="893"/>
      <c r="I16" s="894"/>
      <c r="J16" s="895">
        <f t="shared" si="1"/>
        <v>0</v>
      </c>
      <c r="K16" s="896"/>
      <c r="L16" s="893"/>
      <c r="M16" s="894"/>
      <c r="N16" s="895">
        <f t="shared" si="2"/>
        <v>0</v>
      </c>
      <c r="O16" s="982"/>
      <c r="P16" s="893"/>
      <c r="Q16" s="894"/>
      <c r="R16" s="895">
        <f t="shared" si="3"/>
        <v>0</v>
      </c>
      <c r="S16" s="982"/>
      <c r="T16" s="893"/>
      <c r="U16" s="894"/>
      <c r="V16" s="895">
        <f t="shared" si="4"/>
        <v>0</v>
      </c>
      <c r="W16" s="982"/>
      <c r="X16" s="893"/>
      <c r="Y16" s="894"/>
      <c r="Z16" s="895">
        <f t="shared" si="5"/>
        <v>0</v>
      </c>
    </row>
    <row r="17" spans="1:26" ht="12.75">
      <c r="A17" s="351"/>
      <c r="B17" s="376" t="s">
        <v>445</v>
      </c>
      <c r="C17" s="353" t="s">
        <v>446</v>
      </c>
      <c r="D17" s="897">
        <f>SUM(D18:D24)</f>
        <v>155983</v>
      </c>
      <c r="E17" s="898">
        <f>SUM(E18:E24)</f>
        <v>116952</v>
      </c>
      <c r="F17" s="899">
        <f t="shared" si="0"/>
        <v>39031</v>
      </c>
      <c r="G17" s="896"/>
      <c r="H17" s="897">
        <f>SUM(H18:H24)</f>
        <v>126443</v>
      </c>
      <c r="I17" s="898">
        <f>SUM(I18:I24)</f>
        <v>95140</v>
      </c>
      <c r="J17" s="899">
        <f t="shared" si="1"/>
        <v>31303</v>
      </c>
      <c r="K17" s="896"/>
      <c r="L17" s="897">
        <f>SUM(L18:L24)</f>
        <v>89371</v>
      </c>
      <c r="M17" s="898">
        <f>SUM(M18:M24)</f>
        <v>62348</v>
      </c>
      <c r="N17" s="899">
        <f t="shared" si="2"/>
        <v>27023</v>
      </c>
      <c r="O17" s="982"/>
      <c r="P17" s="897">
        <f>SUM(P18:P24)</f>
        <v>41940</v>
      </c>
      <c r="Q17" s="898">
        <f>SUM(Q18:Q24)</f>
        <v>27526</v>
      </c>
      <c r="R17" s="899">
        <f t="shared" si="3"/>
        <v>14414</v>
      </c>
      <c r="S17" s="982"/>
      <c r="T17" s="897">
        <f>SUM(T18:T24)</f>
        <v>27655</v>
      </c>
      <c r="U17" s="898">
        <f>SUM(U18:U24)</f>
        <v>16796</v>
      </c>
      <c r="V17" s="899">
        <f t="shared" si="4"/>
        <v>10859</v>
      </c>
      <c r="W17" s="982"/>
      <c r="X17" s="897">
        <f>SUM(X18:X24)</f>
        <v>17700</v>
      </c>
      <c r="Y17" s="898">
        <f>SUM(Y18:Y24)</f>
        <v>9949</v>
      </c>
      <c r="Z17" s="899">
        <f t="shared" si="5"/>
        <v>7751</v>
      </c>
    </row>
    <row r="18" spans="1:26" ht="12.75">
      <c r="A18" s="351" t="s">
        <v>447</v>
      </c>
      <c r="B18" s="377" t="s">
        <v>448</v>
      </c>
      <c r="C18" s="355" t="s">
        <v>56</v>
      </c>
      <c r="D18" s="893">
        <v>19472</v>
      </c>
      <c r="E18" s="894"/>
      <c r="F18" s="895">
        <f t="shared" si="0"/>
        <v>19472</v>
      </c>
      <c r="G18" s="896"/>
      <c r="H18" s="893">
        <v>17051</v>
      </c>
      <c r="I18" s="894"/>
      <c r="J18" s="895">
        <f t="shared" si="1"/>
        <v>17051</v>
      </c>
      <c r="K18" s="896"/>
      <c r="L18" s="893">
        <v>12293</v>
      </c>
      <c r="M18" s="894"/>
      <c r="N18" s="895">
        <f t="shared" si="2"/>
        <v>12293</v>
      </c>
      <c r="O18" s="982"/>
      <c r="P18" s="893">
        <v>5763</v>
      </c>
      <c r="Q18" s="894"/>
      <c r="R18" s="895">
        <f t="shared" si="3"/>
        <v>5763</v>
      </c>
      <c r="S18" s="982"/>
      <c r="T18" s="893">
        <v>3840</v>
      </c>
      <c r="U18" s="894"/>
      <c r="V18" s="895">
        <f t="shared" si="4"/>
        <v>3840</v>
      </c>
      <c r="W18" s="982"/>
      <c r="X18" s="893">
        <v>2435</v>
      </c>
      <c r="Y18" s="894"/>
      <c r="Z18" s="895">
        <f t="shared" si="5"/>
        <v>2435</v>
      </c>
    </row>
    <row r="19" spans="1:26" ht="12.75">
      <c r="A19" s="351" t="s">
        <v>449</v>
      </c>
      <c r="B19" s="377" t="s">
        <v>450</v>
      </c>
      <c r="C19" s="348" t="s">
        <v>57</v>
      </c>
      <c r="D19" s="893">
        <v>10649</v>
      </c>
      <c r="E19" s="894">
        <v>8398</v>
      </c>
      <c r="F19" s="895">
        <f t="shared" si="0"/>
        <v>2251</v>
      </c>
      <c r="G19" s="896"/>
      <c r="H19" s="893">
        <v>9044</v>
      </c>
      <c r="I19" s="894">
        <v>7098</v>
      </c>
      <c r="J19" s="895">
        <f t="shared" si="1"/>
        <v>1946</v>
      </c>
      <c r="K19" s="896"/>
      <c r="L19" s="893">
        <v>6521</v>
      </c>
      <c r="M19" s="894">
        <v>4933</v>
      </c>
      <c r="N19" s="895">
        <f t="shared" si="2"/>
        <v>1588</v>
      </c>
      <c r="O19" s="982"/>
      <c r="P19" s="893">
        <v>3057</v>
      </c>
      <c r="Q19" s="894">
        <v>2225</v>
      </c>
      <c r="R19" s="895">
        <f t="shared" si="3"/>
        <v>832</v>
      </c>
      <c r="S19" s="982"/>
      <c r="T19" s="893">
        <v>2037</v>
      </c>
      <c r="U19" s="894">
        <v>1424</v>
      </c>
      <c r="V19" s="895">
        <f t="shared" si="4"/>
        <v>613</v>
      </c>
      <c r="W19" s="982"/>
      <c r="X19" s="893">
        <v>1291</v>
      </c>
      <c r="Y19" s="894">
        <v>865</v>
      </c>
      <c r="Z19" s="895">
        <f t="shared" si="5"/>
        <v>426</v>
      </c>
    </row>
    <row r="20" spans="1:26" ht="12.75">
      <c r="A20" s="351" t="s">
        <v>451</v>
      </c>
      <c r="B20" s="377" t="s">
        <v>452</v>
      </c>
      <c r="C20" s="355" t="s">
        <v>593</v>
      </c>
      <c r="D20" s="893">
        <v>125862</v>
      </c>
      <c r="E20" s="894">
        <v>108554</v>
      </c>
      <c r="F20" s="895">
        <f t="shared" si="0"/>
        <v>17308</v>
      </c>
      <c r="G20" s="896"/>
      <c r="H20" s="893">
        <v>98879</v>
      </c>
      <c r="I20" s="894">
        <v>86573</v>
      </c>
      <c r="J20" s="895">
        <f t="shared" si="1"/>
        <v>12306</v>
      </c>
      <c r="K20" s="896"/>
      <c r="L20" s="893">
        <v>69635</v>
      </c>
      <c r="M20" s="894">
        <v>57415</v>
      </c>
      <c r="N20" s="895">
        <f t="shared" si="2"/>
        <v>12220</v>
      </c>
      <c r="O20" s="982"/>
      <c r="P20" s="893">
        <v>32688</v>
      </c>
      <c r="Q20" s="894">
        <v>25301</v>
      </c>
      <c r="R20" s="895">
        <f t="shared" si="3"/>
        <v>7387</v>
      </c>
      <c r="S20" s="982"/>
      <c r="T20" s="893">
        <v>21778</v>
      </c>
      <c r="U20" s="894">
        <v>15372</v>
      </c>
      <c r="V20" s="895">
        <f t="shared" si="4"/>
        <v>6406</v>
      </c>
      <c r="W20" s="982"/>
      <c r="X20" s="893">
        <v>13974</v>
      </c>
      <c r="Y20" s="894">
        <v>9084</v>
      </c>
      <c r="Z20" s="895">
        <f t="shared" si="5"/>
        <v>4890</v>
      </c>
    </row>
    <row r="21" spans="1:26" ht="12.75">
      <c r="A21" s="351" t="s">
        <v>453</v>
      </c>
      <c r="B21" s="377" t="s">
        <v>454</v>
      </c>
      <c r="C21" s="348" t="s">
        <v>594</v>
      </c>
      <c r="D21" s="893"/>
      <c r="E21" s="894"/>
      <c r="F21" s="895">
        <f t="shared" si="0"/>
        <v>0</v>
      </c>
      <c r="G21" s="896"/>
      <c r="H21" s="893"/>
      <c r="I21" s="894"/>
      <c r="J21" s="895">
        <f t="shared" si="1"/>
        <v>0</v>
      </c>
      <c r="K21" s="896"/>
      <c r="L21" s="893"/>
      <c r="M21" s="894"/>
      <c r="N21" s="895">
        <f t="shared" si="2"/>
        <v>0</v>
      </c>
      <c r="O21" s="982"/>
      <c r="P21" s="893"/>
      <c r="Q21" s="894"/>
      <c r="R21" s="895">
        <f t="shared" si="3"/>
        <v>0</v>
      </c>
      <c r="S21" s="982"/>
      <c r="T21" s="893"/>
      <c r="U21" s="894"/>
      <c r="V21" s="895">
        <f t="shared" si="4"/>
        <v>0</v>
      </c>
      <c r="W21" s="982"/>
      <c r="X21" s="893"/>
      <c r="Y21" s="894"/>
      <c r="Z21" s="895">
        <f t="shared" si="5"/>
        <v>0</v>
      </c>
    </row>
    <row r="22" spans="1:26" ht="12.75">
      <c r="A22" s="351" t="s">
        <v>890</v>
      </c>
      <c r="B22" s="377" t="s">
        <v>455</v>
      </c>
      <c r="C22" s="355" t="s">
        <v>595</v>
      </c>
      <c r="D22" s="893"/>
      <c r="E22" s="894"/>
      <c r="F22" s="895">
        <f t="shared" si="0"/>
        <v>0</v>
      </c>
      <c r="G22" s="896"/>
      <c r="H22" s="893"/>
      <c r="I22" s="894"/>
      <c r="J22" s="895">
        <f t="shared" si="1"/>
        <v>0</v>
      </c>
      <c r="K22" s="896"/>
      <c r="L22" s="893"/>
      <c r="M22" s="894"/>
      <c r="N22" s="895">
        <f t="shared" si="2"/>
        <v>0</v>
      </c>
      <c r="O22" s="982"/>
      <c r="P22" s="893"/>
      <c r="Q22" s="894"/>
      <c r="R22" s="895">
        <f t="shared" si="3"/>
        <v>0</v>
      </c>
      <c r="S22" s="982"/>
      <c r="T22" s="893"/>
      <c r="U22" s="894"/>
      <c r="V22" s="895">
        <f t="shared" si="4"/>
        <v>0</v>
      </c>
      <c r="W22" s="982"/>
      <c r="X22" s="893"/>
      <c r="Y22" s="894"/>
      <c r="Z22" s="895">
        <f t="shared" si="5"/>
        <v>0</v>
      </c>
    </row>
    <row r="23" spans="1:26" ht="12.75">
      <c r="A23" s="351" t="s">
        <v>456</v>
      </c>
      <c r="B23" s="377" t="s">
        <v>457</v>
      </c>
      <c r="C23" s="348" t="s">
        <v>596</v>
      </c>
      <c r="D23" s="893"/>
      <c r="E23" s="894"/>
      <c r="F23" s="895">
        <f t="shared" si="0"/>
        <v>0</v>
      </c>
      <c r="G23" s="896"/>
      <c r="H23" s="893"/>
      <c r="I23" s="894"/>
      <c r="J23" s="895">
        <f t="shared" si="1"/>
        <v>0</v>
      </c>
      <c r="K23" s="896"/>
      <c r="L23" s="893"/>
      <c r="M23" s="894"/>
      <c r="N23" s="895">
        <f t="shared" si="2"/>
        <v>0</v>
      </c>
      <c r="O23" s="982"/>
      <c r="P23" s="893"/>
      <c r="Q23" s="894"/>
      <c r="R23" s="895">
        <f t="shared" si="3"/>
        <v>0</v>
      </c>
      <c r="S23" s="982"/>
      <c r="T23" s="893"/>
      <c r="U23" s="894"/>
      <c r="V23" s="895">
        <f t="shared" si="4"/>
        <v>0</v>
      </c>
      <c r="W23" s="982"/>
      <c r="X23" s="893"/>
      <c r="Y23" s="894"/>
      <c r="Z23" s="895">
        <f t="shared" si="5"/>
        <v>0</v>
      </c>
    </row>
    <row r="24" spans="1:26" ht="12.75">
      <c r="A24" s="351" t="s">
        <v>458</v>
      </c>
      <c r="B24" s="377" t="s">
        <v>459</v>
      </c>
      <c r="C24" s="355" t="s">
        <v>597</v>
      </c>
      <c r="D24" s="893"/>
      <c r="E24" s="894"/>
      <c r="F24" s="895">
        <f t="shared" si="0"/>
        <v>0</v>
      </c>
      <c r="G24" s="896"/>
      <c r="H24" s="893">
        <v>1469</v>
      </c>
      <c r="I24" s="894">
        <v>1469</v>
      </c>
      <c r="J24" s="895">
        <f t="shared" si="1"/>
        <v>0</v>
      </c>
      <c r="K24" s="896"/>
      <c r="L24" s="893">
        <v>922</v>
      </c>
      <c r="M24" s="894"/>
      <c r="N24" s="895">
        <f t="shared" si="2"/>
        <v>922</v>
      </c>
      <c r="O24" s="982"/>
      <c r="P24" s="893">
        <v>432</v>
      </c>
      <c r="Q24" s="894"/>
      <c r="R24" s="895">
        <f t="shared" si="3"/>
        <v>432</v>
      </c>
      <c r="S24" s="982"/>
      <c r="T24" s="893"/>
      <c r="U24" s="894"/>
      <c r="V24" s="895">
        <f t="shared" si="4"/>
        <v>0</v>
      </c>
      <c r="W24" s="982"/>
      <c r="X24" s="893"/>
      <c r="Y24" s="894"/>
      <c r="Z24" s="895">
        <f t="shared" si="5"/>
        <v>0</v>
      </c>
    </row>
    <row r="25" spans="1:26" ht="12.75">
      <c r="A25" s="351"/>
      <c r="B25" s="376" t="s">
        <v>460</v>
      </c>
      <c r="C25" s="353" t="s">
        <v>598</v>
      </c>
      <c r="D25" s="897">
        <f>SUM(D26:D32)</f>
        <v>7193</v>
      </c>
      <c r="E25" s="898">
        <f>SUM(E26:E32)</f>
        <v>0</v>
      </c>
      <c r="F25" s="899">
        <f t="shared" si="0"/>
        <v>7193</v>
      </c>
      <c r="G25" s="896"/>
      <c r="H25" s="897">
        <f>SUM(H26:H32)</f>
        <v>6438</v>
      </c>
      <c r="I25" s="898">
        <f>SUM(I26:I32)</f>
        <v>0</v>
      </c>
      <c r="J25" s="899">
        <f t="shared" si="1"/>
        <v>6438</v>
      </c>
      <c r="K25" s="896"/>
      <c r="L25" s="897">
        <f>SUM(L26:L32)</f>
        <v>4640</v>
      </c>
      <c r="M25" s="898">
        <f>SUM(M26:M32)</f>
        <v>0</v>
      </c>
      <c r="N25" s="899">
        <f t="shared" si="2"/>
        <v>4640</v>
      </c>
      <c r="O25" s="982"/>
      <c r="P25" s="897">
        <f>SUM(P26:P32)</f>
        <v>1763</v>
      </c>
      <c r="Q25" s="898">
        <f>SUM(Q26:Q32)</f>
        <v>0</v>
      </c>
      <c r="R25" s="899">
        <f t="shared" si="3"/>
        <v>1763</v>
      </c>
      <c r="S25" s="982"/>
      <c r="T25" s="897">
        <f>SUM(T26:T32)</f>
        <v>296</v>
      </c>
      <c r="U25" s="898">
        <f>SUM(U26:U32)</f>
        <v>0</v>
      </c>
      <c r="V25" s="899">
        <f t="shared" si="4"/>
        <v>296</v>
      </c>
      <c r="W25" s="982"/>
      <c r="X25" s="897">
        <f>SUM(X26:X32)</f>
        <v>16</v>
      </c>
      <c r="Y25" s="898">
        <f>SUM(Y26:Y32)</f>
        <v>0</v>
      </c>
      <c r="Z25" s="899">
        <f t="shared" si="5"/>
        <v>16</v>
      </c>
    </row>
    <row r="26" spans="1:26" ht="12.75">
      <c r="A26" s="351" t="s">
        <v>461</v>
      </c>
      <c r="B26" s="377" t="s">
        <v>462</v>
      </c>
      <c r="C26" s="355" t="s">
        <v>463</v>
      </c>
      <c r="D26" s="893"/>
      <c r="E26" s="894"/>
      <c r="F26" s="895">
        <f t="shared" si="0"/>
        <v>0</v>
      </c>
      <c r="G26" s="896"/>
      <c r="H26" s="893"/>
      <c r="I26" s="894"/>
      <c r="J26" s="895">
        <f t="shared" si="1"/>
        <v>0</v>
      </c>
      <c r="K26" s="896"/>
      <c r="L26" s="893"/>
      <c r="M26" s="894"/>
      <c r="N26" s="895">
        <f t="shared" si="2"/>
        <v>0</v>
      </c>
      <c r="O26" s="982"/>
      <c r="P26" s="893"/>
      <c r="Q26" s="894"/>
      <c r="R26" s="895">
        <f t="shared" si="3"/>
        <v>0</v>
      </c>
      <c r="S26" s="982"/>
      <c r="T26" s="893">
        <v>296</v>
      </c>
      <c r="U26" s="894"/>
      <c r="V26" s="895">
        <f t="shared" si="4"/>
        <v>296</v>
      </c>
      <c r="W26" s="982"/>
      <c r="X26" s="893">
        <v>16</v>
      </c>
      <c r="Y26" s="894"/>
      <c r="Z26" s="895">
        <f t="shared" si="5"/>
        <v>16</v>
      </c>
    </row>
    <row r="27" spans="1:26" ht="12.75">
      <c r="A27" s="351" t="s">
        <v>464</v>
      </c>
      <c r="B27" s="377" t="s">
        <v>465</v>
      </c>
      <c r="C27" s="348" t="s">
        <v>599</v>
      </c>
      <c r="D27" s="893">
        <v>7193</v>
      </c>
      <c r="E27" s="894"/>
      <c r="F27" s="895">
        <f t="shared" si="0"/>
        <v>7193</v>
      </c>
      <c r="G27" s="896"/>
      <c r="H27" s="893">
        <v>6438</v>
      </c>
      <c r="I27" s="894"/>
      <c r="J27" s="895">
        <f t="shared" si="1"/>
        <v>6438</v>
      </c>
      <c r="K27" s="896"/>
      <c r="L27" s="893">
        <v>4640</v>
      </c>
      <c r="M27" s="894"/>
      <c r="N27" s="895">
        <f t="shared" si="2"/>
        <v>4640</v>
      </c>
      <c r="O27" s="982"/>
      <c r="P27" s="893">
        <v>1763</v>
      </c>
      <c r="Q27" s="894"/>
      <c r="R27" s="895">
        <f t="shared" si="3"/>
        <v>1763</v>
      </c>
      <c r="S27" s="982"/>
      <c r="T27" s="893"/>
      <c r="U27" s="894"/>
      <c r="V27" s="895">
        <f t="shared" si="4"/>
        <v>0</v>
      </c>
      <c r="W27" s="982"/>
      <c r="X27" s="893"/>
      <c r="Y27" s="894"/>
      <c r="Z27" s="895">
        <f t="shared" si="5"/>
        <v>0</v>
      </c>
    </row>
    <row r="28" spans="1:26" ht="12.75">
      <c r="A28" s="351" t="s">
        <v>466</v>
      </c>
      <c r="B28" s="377" t="s">
        <v>467</v>
      </c>
      <c r="C28" s="355" t="s">
        <v>600</v>
      </c>
      <c r="D28" s="893"/>
      <c r="E28" s="894"/>
      <c r="F28" s="895">
        <f t="shared" si="0"/>
        <v>0</v>
      </c>
      <c r="G28" s="896"/>
      <c r="H28" s="893"/>
      <c r="I28" s="894"/>
      <c r="J28" s="895">
        <f t="shared" si="1"/>
        <v>0</v>
      </c>
      <c r="K28" s="896"/>
      <c r="L28" s="893"/>
      <c r="M28" s="894"/>
      <c r="N28" s="895">
        <f t="shared" si="2"/>
        <v>0</v>
      </c>
      <c r="O28" s="982"/>
      <c r="P28" s="893"/>
      <c r="Q28" s="894"/>
      <c r="R28" s="895">
        <f t="shared" si="3"/>
        <v>0</v>
      </c>
      <c r="S28" s="982"/>
      <c r="T28" s="893"/>
      <c r="U28" s="894"/>
      <c r="V28" s="895">
        <f t="shared" si="4"/>
        <v>0</v>
      </c>
      <c r="W28" s="982"/>
      <c r="X28" s="893"/>
      <c r="Y28" s="894"/>
      <c r="Z28" s="895">
        <f t="shared" si="5"/>
        <v>0</v>
      </c>
    </row>
    <row r="29" spans="1:26" ht="12.75">
      <c r="A29" s="351" t="s">
        <v>468</v>
      </c>
      <c r="B29" s="377" t="s">
        <v>469</v>
      </c>
      <c r="C29" s="348" t="s">
        <v>470</v>
      </c>
      <c r="D29" s="893"/>
      <c r="E29" s="894"/>
      <c r="F29" s="895">
        <f t="shared" si="0"/>
        <v>0</v>
      </c>
      <c r="G29" s="896"/>
      <c r="H29" s="893"/>
      <c r="I29" s="894"/>
      <c r="J29" s="895">
        <f t="shared" si="1"/>
        <v>0</v>
      </c>
      <c r="K29" s="896"/>
      <c r="L29" s="893"/>
      <c r="M29" s="894"/>
      <c r="N29" s="895">
        <f t="shared" si="2"/>
        <v>0</v>
      </c>
      <c r="O29" s="982"/>
      <c r="P29" s="893"/>
      <c r="Q29" s="894"/>
      <c r="R29" s="895">
        <f t="shared" si="3"/>
        <v>0</v>
      </c>
      <c r="S29" s="982"/>
      <c r="T29" s="893"/>
      <c r="U29" s="894"/>
      <c r="V29" s="895">
        <f t="shared" si="4"/>
        <v>0</v>
      </c>
      <c r="W29" s="982"/>
      <c r="X29" s="893"/>
      <c r="Y29" s="894"/>
      <c r="Z29" s="895">
        <f t="shared" si="5"/>
        <v>0</v>
      </c>
    </row>
    <row r="30" spans="1:26" ht="12.75">
      <c r="A30" s="351" t="s">
        <v>471</v>
      </c>
      <c r="B30" s="377" t="s">
        <v>472</v>
      </c>
      <c r="C30" s="355" t="s">
        <v>449</v>
      </c>
      <c r="D30" s="893"/>
      <c r="E30" s="894"/>
      <c r="F30" s="895">
        <f t="shared" si="0"/>
        <v>0</v>
      </c>
      <c r="G30" s="896"/>
      <c r="H30" s="893"/>
      <c r="I30" s="894"/>
      <c r="J30" s="895">
        <f t="shared" si="1"/>
        <v>0</v>
      </c>
      <c r="K30" s="896"/>
      <c r="L30" s="893"/>
      <c r="M30" s="894"/>
      <c r="N30" s="895">
        <f t="shared" si="2"/>
        <v>0</v>
      </c>
      <c r="O30" s="982"/>
      <c r="P30" s="893"/>
      <c r="Q30" s="894"/>
      <c r="R30" s="895">
        <f t="shared" si="3"/>
        <v>0</v>
      </c>
      <c r="S30" s="982"/>
      <c r="T30" s="893"/>
      <c r="U30" s="894"/>
      <c r="V30" s="895">
        <f t="shared" si="4"/>
        <v>0</v>
      </c>
      <c r="W30" s="982"/>
      <c r="X30" s="893"/>
      <c r="Y30" s="894"/>
      <c r="Z30" s="895">
        <f t="shared" si="5"/>
        <v>0</v>
      </c>
    </row>
    <row r="31" spans="1:26" ht="12.75">
      <c r="A31" s="846" t="s">
        <v>473</v>
      </c>
      <c r="B31" s="838" t="s">
        <v>474</v>
      </c>
      <c r="C31" s="846" t="s">
        <v>451</v>
      </c>
      <c r="D31" s="893"/>
      <c r="E31" s="894"/>
      <c r="F31" s="895"/>
      <c r="G31" s="896"/>
      <c r="H31" s="893"/>
      <c r="I31" s="894"/>
      <c r="J31" s="895"/>
      <c r="K31" s="896"/>
      <c r="L31" s="893"/>
      <c r="M31" s="894"/>
      <c r="N31" s="895"/>
      <c r="O31" s="982"/>
      <c r="P31" s="893"/>
      <c r="Q31" s="894"/>
      <c r="R31" s="895"/>
      <c r="S31" s="982"/>
      <c r="T31" s="893"/>
      <c r="U31" s="894"/>
      <c r="V31" s="895"/>
      <c r="W31" s="982"/>
      <c r="X31" s="893"/>
      <c r="Y31" s="894"/>
      <c r="Z31" s="895"/>
    </row>
    <row r="32" spans="1:26" ht="12.75">
      <c r="A32" s="351" t="s">
        <v>475</v>
      </c>
      <c r="B32" s="377" t="s">
        <v>476</v>
      </c>
      <c r="C32" s="355" t="s">
        <v>451</v>
      </c>
      <c r="D32" s="893"/>
      <c r="E32" s="894"/>
      <c r="F32" s="895">
        <f t="shared" si="0"/>
        <v>0</v>
      </c>
      <c r="G32" s="896"/>
      <c r="H32" s="893"/>
      <c r="I32" s="894"/>
      <c r="J32" s="895">
        <f t="shared" si="1"/>
        <v>0</v>
      </c>
      <c r="K32" s="896"/>
      <c r="L32" s="893"/>
      <c r="M32" s="894"/>
      <c r="N32" s="895">
        <f t="shared" si="2"/>
        <v>0</v>
      </c>
      <c r="O32" s="982"/>
      <c r="P32" s="893"/>
      <c r="Q32" s="894"/>
      <c r="R32" s="895">
        <f t="shared" si="3"/>
        <v>0</v>
      </c>
      <c r="S32" s="982"/>
      <c r="T32" s="893"/>
      <c r="U32" s="894"/>
      <c r="V32" s="895">
        <f t="shared" si="4"/>
        <v>0</v>
      </c>
      <c r="W32" s="982"/>
      <c r="X32" s="893"/>
      <c r="Y32" s="894"/>
      <c r="Z32" s="895">
        <f t="shared" si="5"/>
        <v>0</v>
      </c>
    </row>
    <row r="33" spans="1:26" ht="12.75">
      <c r="A33" s="351"/>
      <c r="B33" s="376" t="s">
        <v>477</v>
      </c>
      <c r="C33" s="355" t="s">
        <v>453</v>
      </c>
      <c r="D33" s="897">
        <f>+D34+D40+D53</f>
        <v>20877</v>
      </c>
      <c r="E33" s="898">
        <f>+E34+E40+E53</f>
        <v>0</v>
      </c>
      <c r="F33" s="899">
        <f t="shared" si="0"/>
        <v>20877</v>
      </c>
      <c r="G33" s="896"/>
      <c r="H33" s="897">
        <f>+H34+H40+H53</f>
        <v>12315</v>
      </c>
      <c r="I33" s="898">
        <f>+I34+I40+I53</f>
        <v>0</v>
      </c>
      <c r="J33" s="899">
        <f t="shared" si="1"/>
        <v>12315</v>
      </c>
      <c r="K33" s="896"/>
      <c r="L33" s="897">
        <f>+L34+L40+L53</f>
        <v>8535</v>
      </c>
      <c r="M33" s="898">
        <f>+M34+M40+M53</f>
        <v>0</v>
      </c>
      <c r="N33" s="899">
        <f t="shared" si="2"/>
        <v>8535</v>
      </c>
      <c r="O33" s="982"/>
      <c r="P33" s="897">
        <f>+P34+P40+P53</f>
        <v>5251</v>
      </c>
      <c r="Q33" s="898">
        <f>+Q34+Q40+Q53</f>
        <v>0</v>
      </c>
      <c r="R33" s="899">
        <f t="shared" si="3"/>
        <v>5251</v>
      </c>
      <c r="S33" s="982"/>
      <c r="T33" s="897">
        <f>+T34+T40+T53</f>
        <v>4424</v>
      </c>
      <c r="U33" s="898">
        <f>+U34+U40+U53</f>
        <v>0</v>
      </c>
      <c r="V33" s="899">
        <f t="shared" si="4"/>
        <v>4424</v>
      </c>
      <c r="W33" s="982"/>
      <c r="X33" s="897">
        <f>+X34+X40+X53</f>
        <v>12291</v>
      </c>
      <c r="Y33" s="898">
        <f>+Y34+Y40+Y53</f>
        <v>9142</v>
      </c>
      <c r="Z33" s="899">
        <f t="shared" si="5"/>
        <v>3149</v>
      </c>
    </row>
    <row r="34" spans="1:26" ht="12.75">
      <c r="A34" s="351"/>
      <c r="B34" s="376" t="s">
        <v>479</v>
      </c>
      <c r="C34" s="355" t="s">
        <v>478</v>
      </c>
      <c r="D34" s="897">
        <f>SUM(D35:D39)</f>
        <v>4228</v>
      </c>
      <c r="E34" s="898">
        <f>SUM(E35:E39)</f>
        <v>0</v>
      </c>
      <c r="F34" s="899">
        <f t="shared" si="0"/>
        <v>4228</v>
      </c>
      <c r="G34" s="896"/>
      <c r="H34" s="897">
        <f>SUM(H35:H39)</f>
        <v>1444</v>
      </c>
      <c r="I34" s="898">
        <f>SUM(I35:I39)</f>
        <v>0</v>
      </c>
      <c r="J34" s="899">
        <f t="shared" si="1"/>
        <v>1444</v>
      </c>
      <c r="K34" s="896"/>
      <c r="L34" s="897">
        <f>SUM(L35:L39)</f>
        <v>963</v>
      </c>
      <c r="M34" s="898">
        <f>SUM(M35:M39)</f>
        <v>0</v>
      </c>
      <c r="N34" s="899">
        <f t="shared" si="2"/>
        <v>963</v>
      </c>
      <c r="O34" s="982"/>
      <c r="P34" s="897">
        <f>SUM(P35:P39)</f>
        <v>527</v>
      </c>
      <c r="Q34" s="898">
        <f>SUM(Q35:Q39)</f>
        <v>0</v>
      </c>
      <c r="R34" s="899">
        <f t="shared" si="3"/>
        <v>527</v>
      </c>
      <c r="S34" s="982"/>
      <c r="T34" s="897">
        <f>SUM(T35:T39)</f>
        <v>666</v>
      </c>
      <c r="U34" s="898">
        <f>SUM(U35:U39)</f>
        <v>0</v>
      </c>
      <c r="V34" s="899">
        <f t="shared" si="4"/>
        <v>666</v>
      </c>
      <c r="W34" s="982"/>
      <c r="X34" s="897">
        <f>SUM(X35:X39)</f>
        <v>2180</v>
      </c>
      <c r="Y34" s="898">
        <f>SUM(Y35:Y39)</f>
        <v>1906</v>
      </c>
      <c r="Z34" s="899">
        <f t="shared" si="5"/>
        <v>274</v>
      </c>
    </row>
    <row r="35" spans="1:26" ht="12.75">
      <c r="A35" s="351" t="s">
        <v>1125</v>
      </c>
      <c r="B35" s="377" t="s">
        <v>480</v>
      </c>
      <c r="C35" s="355" t="s">
        <v>890</v>
      </c>
      <c r="D35" s="893">
        <v>4065</v>
      </c>
      <c r="E35" s="894"/>
      <c r="F35" s="895">
        <f t="shared" si="0"/>
        <v>4065</v>
      </c>
      <c r="G35" s="896"/>
      <c r="H35" s="893">
        <v>1429</v>
      </c>
      <c r="I35" s="894"/>
      <c r="J35" s="895">
        <f t="shared" si="1"/>
        <v>1429</v>
      </c>
      <c r="K35" s="896"/>
      <c r="L35" s="893">
        <v>963</v>
      </c>
      <c r="M35" s="894"/>
      <c r="N35" s="895">
        <f t="shared" si="2"/>
        <v>963</v>
      </c>
      <c r="O35" s="982"/>
      <c r="P35" s="893">
        <v>524</v>
      </c>
      <c r="Q35" s="894"/>
      <c r="R35" s="895">
        <f t="shared" si="3"/>
        <v>524</v>
      </c>
      <c r="S35" s="982"/>
      <c r="T35" s="893">
        <v>662</v>
      </c>
      <c r="U35" s="894"/>
      <c r="V35" s="895">
        <f t="shared" si="4"/>
        <v>662</v>
      </c>
      <c r="W35" s="982"/>
      <c r="X35" s="893">
        <v>2054</v>
      </c>
      <c r="Y35" s="894">
        <v>1784</v>
      </c>
      <c r="Z35" s="895">
        <f t="shared" si="5"/>
        <v>270</v>
      </c>
    </row>
    <row r="36" spans="1:26" ht="12.75">
      <c r="A36" s="351" t="s">
        <v>1138</v>
      </c>
      <c r="B36" s="377" t="s">
        <v>481</v>
      </c>
      <c r="C36" s="355" t="s">
        <v>456</v>
      </c>
      <c r="D36" s="893"/>
      <c r="E36" s="894"/>
      <c r="F36" s="895">
        <f t="shared" si="0"/>
        <v>0</v>
      </c>
      <c r="G36" s="896"/>
      <c r="H36" s="893"/>
      <c r="I36" s="894"/>
      <c r="J36" s="895">
        <f t="shared" si="1"/>
        <v>0</v>
      </c>
      <c r="K36" s="896"/>
      <c r="L36" s="893"/>
      <c r="M36" s="894"/>
      <c r="N36" s="895">
        <f t="shared" si="2"/>
        <v>0</v>
      </c>
      <c r="O36" s="982"/>
      <c r="P36" s="893"/>
      <c r="Q36" s="894"/>
      <c r="R36" s="895">
        <f t="shared" si="3"/>
        <v>0</v>
      </c>
      <c r="S36" s="982"/>
      <c r="T36" s="893"/>
      <c r="U36" s="894"/>
      <c r="V36" s="895">
        <f t="shared" si="4"/>
        <v>0</v>
      </c>
      <c r="W36" s="982"/>
      <c r="X36" s="893"/>
      <c r="Y36" s="894"/>
      <c r="Z36" s="895">
        <f t="shared" si="5"/>
        <v>0</v>
      </c>
    </row>
    <row r="37" spans="1:26" ht="12.75">
      <c r="A37" s="351" t="s">
        <v>1139</v>
      </c>
      <c r="B37" s="377" t="s">
        <v>483</v>
      </c>
      <c r="C37" s="355" t="s">
        <v>482</v>
      </c>
      <c r="D37" s="893"/>
      <c r="E37" s="894"/>
      <c r="F37" s="895">
        <f t="shared" si="0"/>
        <v>0</v>
      </c>
      <c r="G37" s="896"/>
      <c r="H37" s="893"/>
      <c r="I37" s="894"/>
      <c r="J37" s="895">
        <f t="shared" si="1"/>
        <v>0</v>
      </c>
      <c r="K37" s="896"/>
      <c r="L37" s="893"/>
      <c r="M37" s="894"/>
      <c r="N37" s="895">
        <f t="shared" si="2"/>
        <v>0</v>
      </c>
      <c r="O37" s="982"/>
      <c r="P37" s="893"/>
      <c r="Q37" s="894"/>
      <c r="R37" s="895">
        <f t="shared" si="3"/>
        <v>0</v>
      </c>
      <c r="S37" s="982"/>
      <c r="T37" s="893"/>
      <c r="U37" s="894"/>
      <c r="V37" s="895">
        <f t="shared" si="4"/>
        <v>0</v>
      </c>
      <c r="W37" s="982"/>
      <c r="X37" s="893"/>
      <c r="Y37" s="894"/>
      <c r="Z37" s="895">
        <f t="shared" si="5"/>
        <v>0</v>
      </c>
    </row>
    <row r="38" spans="1:26" ht="12.75">
      <c r="A38" s="351" t="s">
        <v>1140</v>
      </c>
      <c r="B38" s="377" t="s">
        <v>485</v>
      </c>
      <c r="C38" s="355" t="s">
        <v>484</v>
      </c>
      <c r="D38" s="893"/>
      <c r="E38" s="894"/>
      <c r="F38" s="895">
        <f t="shared" si="0"/>
        <v>0</v>
      </c>
      <c r="G38" s="896"/>
      <c r="H38" s="893"/>
      <c r="I38" s="894"/>
      <c r="J38" s="895">
        <f t="shared" si="1"/>
        <v>0</v>
      </c>
      <c r="K38" s="896"/>
      <c r="L38" s="893"/>
      <c r="M38" s="894"/>
      <c r="N38" s="895">
        <f t="shared" si="2"/>
        <v>0</v>
      </c>
      <c r="O38" s="982"/>
      <c r="P38" s="893">
        <v>3</v>
      </c>
      <c r="Q38" s="894"/>
      <c r="R38" s="895">
        <f t="shared" si="3"/>
        <v>3</v>
      </c>
      <c r="S38" s="982"/>
      <c r="T38" s="893"/>
      <c r="U38" s="894"/>
      <c r="V38" s="895">
        <f t="shared" si="4"/>
        <v>0</v>
      </c>
      <c r="W38" s="982"/>
      <c r="X38" s="893"/>
      <c r="Y38" s="894"/>
      <c r="Z38" s="895">
        <f t="shared" si="5"/>
        <v>0</v>
      </c>
    </row>
    <row r="39" spans="1:26" ht="12.75">
      <c r="A39" s="351" t="s">
        <v>1141</v>
      </c>
      <c r="B39" s="377" t="s">
        <v>486</v>
      </c>
      <c r="C39" s="355" t="s">
        <v>461</v>
      </c>
      <c r="D39" s="893">
        <v>163</v>
      </c>
      <c r="E39" s="894"/>
      <c r="F39" s="895">
        <f t="shared" si="0"/>
        <v>163</v>
      </c>
      <c r="G39" s="896"/>
      <c r="H39" s="893">
        <v>15</v>
      </c>
      <c r="I39" s="894"/>
      <c r="J39" s="895">
        <f t="shared" si="1"/>
        <v>15</v>
      </c>
      <c r="K39" s="896"/>
      <c r="L39" s="893"/>
      <c r="M39" s="894"/>
      <c r="N39" s="895">
        <f t="shared" si="2"/>
        <v>0</v>
      </c>
      <c r="O39" s="982"/>
      <c r="P39" s="893"/>
      <c r="Q39" s="894"/>
      <c r="R39" s="895">
        <f t="shared" si="3"/>
        <v>0</v>
      </c>
      <c r="S39" s="982"/>
      <c r="T39" s="893">
        <v>4</v>
      </c>
      <c r="U39" s="894"/>
      <c r="V39" s="895">
        <f t="shared" si="4"/>
        <v>4</v>
      </c>
      <c r="W39" s="982"/>
      <c r="X39" s="893">
        <v>126</v>
      </c>
      <c r="Y39" s="894">
        <v>122</v>
      </c>
      <c r="Z39" s="895">
        <f t="shared" si="5"/>
        <v>4</v>
      </c>
    </row>
    <row r="40" spans="1:26" ht="12.75">
      <c r="A40" s="351"/>
      <c r="B40" s="376" t="s">
        <v>487</v>
      </c>
      <c r="C40" s="355" t="s">
        <v>464</v>
      </c>
      <c r="D40" s="897">
        <f>+D41+D46</f>
        <v>16330</v>
      </c>
      <c r="E40" s="898">
        <f>+E41+E46</f>
        <v>0</v>
      </c>
      <c r="F40" s="899">
        <f t="shared" si="0"/>
        <v>16330</v>
      </c>
      <c r="G40" s="896"/>
      <c r="H40" s="897">
        <f>+H41+H46</f>
        <v>10807</v>
      </c>
      <c r="I40" s="898">
        <f>+I41+I46</f>
        <v>0</v>
      </c>
      <c r="J40" s="899">
        <f t="shared" si="1"/>
        <v>10807</v>
      </c>
      <c r="K40" s="896"/>
      <c r="L40" s="897">
        <f>+L41+L46</f>
        <v>7427</v>
      </c>
      <c r="M40" s="898">
        <f>+M41+M46</f>
        <v>0</v>
      </c>
      <c r="N40" s="899">
        <f t="shared" si="2"/>
        <v>7427</v>
      </c>
      <c r="O40" s="982"/>
      <c r="P40" s="897">
        <f>+P41+P46</f>
        <v>4285</v>
      </c>
      <c r="Q40" s="898">
        <f>+Q41+Q46</f>
        <v>0</v>
      </c>
      <c r="R40" s="899">
        <f t="shared" si="3"/>
        <v>4285</v>
      </c>
      <c r="S40" s="982"/>
      <c r="T40" s="897">
        <f>+T41+T46</f>
        <v>3518</v>
      </c>
      <c r="U40" s="898">
        <f>+U41+U46</f>
        <v>0</v>
      </c>
      <c r="V40" s="899">
        <f t="shared" si="4"/>
        <v>3518</v>
      </c>
      <c r="W40" s="982"/>
      <c r="X40" s="897">
        <f>+X41+X46</f>
        <v>9855</v>
      </c>
      <c r="Y40" s="898">
        <f>+Y41+Y46</f>
        <v>7236</v>
      </c>
      <c r="Z40" s="899">
        <f t="shared" si="5"/>
        <v>2619</v>
      </c>
    </row>
    <row r="41" spans="1:26" ht="12.75">
      <c r="A41" s="351"/>
      <c r="B41" s="376" t="s">
        <v>488</v>
      </c>
      <c r="C41" s="355" t="s">
        <v>466</v>
      </c>
      <c r="D41" s="897">
        <f>SUM(D42:D45)</f>
        <v>16330</v>
      </c>
      <c r="E41" s="898">
        <f>SUM(E42:E45)</f>
        <v>0</v>
      </c>
      <c r="F41" s="899">
        <f t="shared" si="0"/>
        <v>16330</v>
      </c>
      <c r="G41" s="896"/>
      <c r="H41" s="897">
        <f>SUM(H42:H45)</f>
        <v>9799</v>
      </c>
      <c r="I41" s="898">
        <f>SUM(I42:I45)</f>
        <v>0</v>
      </c>
      <c r="J41" s="899">
        <f t="shared" si="1"/>
        <v>9799</v>
      </c>
      <c r="K41" s="896"/>
      <c r="L41" s="897">
        <f>SUM(L42:L45)</f>
        <v>7427</v>
      </c>
      <c r="M41" s="898">
        <f>SUM(M42:M45)</f>
        <v>0</v>
      </c>
      <c r="N41" s="899">
        <f t="shared" si="2"/>
        <v>7427</v>
      </c>
      <c r="O41" s="982"/>
      <c r="P41" s="897">
        <f>SUM(P42:P45)</f>
        <v>4285</v>
      </c>
      <c r="Q41" s="898">
        <f>SUM(Q42:Q45)</f>
        <v>0</v>
      </c>
      <c r="R41" s="899">
        <f t="shared" si="3"/>
        <v>4285</v>
      </c>
      <c r="S41" s="982"/>
      <c r="T41" s="897">
        <f>SUM(T42:T45)</f>
        <v>2316</v>
      </c>
      <c r="U41" s="898">
        <f>SUM(U42:U45)</f>
        <v>0</v>
      </c>
      <c r="V41" s="899">
        <f t="shared" si="4"/>
        <v>2316</v>
      </c>
      <c r="W41" s="982"/>
      <c r="X41" s="897">
        <f>SUM(X42:X45)</f>
        <v>9855</v>
      </c>
      <c r="Y41" s="898">
        <f>SUM(Y42:Y45)</f>
        <v>7236</v>
      </c>
      <c r="Z41" s="899">
        <f t="shared" si="5"/>
        <v>2619</v>
      </c>
    </row>
    <row r="42" spans="1:26" ht="12.75">
      <c r="A42" s="351" t="s">
        <v>490</v>
      </c>
      <c r="B42" s="377" t="s">
        <v>491</v>
      </c>
      <c r="C42" s="355" t="s">
        <v>489</v>
      </c>
      <c r="D42" s="893"/>
      <c r="E42" s="894"/>
      <c r="F42" s="895">
        <f t="shared" si="0"/>
        <v>0</v>
      </c>
      <c r="G42" s="896"/>
      <c r="H42" s="893"/>
      <c r="I42" s="894"/>
      <c r="J42" s="895">
        <f t="shared" si="1"/>
        <v>0</v>
      </c>
      <c r="K42" s="896"/>
      <c r="L42" s="893"/>
      <c r="M42" s="894"/>
      <c r="N42" s="895">
        <f t="shared" si="2"/>
        <v>0</v>
      </c>
      <c r="O42" s="982"/>
      <c r="P42" s="893"/>
      <c r="Q42" s="894"/>
      <c r="R42" s="895">
        <f t="shared" si="3"/>
        <v>0</v>
      </c>
      <c r="S42" s="982"/>
      <c r="T42" s="893"/>
      <c r="U42" s="894"/>
      <c r="V42" s="895">
        <f t="shared" si="4"/>
        <v>0</v>
      </c>
      <c r="W42" s="982"/>
      <c r="X42" s="893"/>
      <c r="Y42" s="894"/>
      <c r="Z42" s="895">
        <f t="shared" si="5"/>
        <v>0</v>
      </c>
    </row>
    <row r="43" spans="1:26" ht="12.75">
      <c r="A43" s="351" t="s">
        <v>493</v>
      </c>
      <c r="B43" s="377" t="s">
        <v>494</v>
      </c>
      <c r="C43" s="355" t="s">
        <v>492</v>
      </c>
      <c r="D43" s="893">
        <v>16309</v>
      </c>
      <c r="E43" s="894"/>
      <c r="F43" s="895">
        <f t="shared" si="0"/>
        <v>16309</v>
      </c>
      <c r="G43" s="896"/>
      <c r="H43" s="893">
        <v>9537</v>
      </c>
      <c r="I43" s="894"/>
      <c r="J43" s="895">
        <f t="shared" si="1"/>
        <v>9537</v>
      </c>
      <c r="K43" s="896"/>
      <c r="L43" s="893">
        <v>7406</v>
      </c>
      <c r="M43" s="894"/>
      <c r="N43" s="895">
        <f t="shared" si="2"/>
        <v>7406</v>
      </c>
      <c r="O43" s="982"/>
      <c r="P43" s="893">
        <v>4231</v>
      </c>
      <c r="Q43" s="894"/>
      <c r="R43" s="895">
        <f t="shared" si="3"/>
        <v>4231</v>
      </c>
      <c r="S43" s="982"/>
      <c r="T43" s="893">
        <v>2273</v>
      </c>
      <c r="U43" s="894"/>
      <c r="V43" s="895">
        <f t="shared" si="4"/>
        <v>2273</v>
      </c>
      <c r="W43" s="982"/>
      <c r="X43" s="893">
        <v>9793</v>
      </c>
      <c r="Y43" s="894">
        <v>7193</v>
      </c>
      <c r="Z43" s="895">
        <f t="shared" si="5"/>
        <v>2600</v>
      </c>
    </row>
    <row r="44" spans="1:26" ht="12.75">
      <c r="A44" s="351" t="s">
        <v>1142</v>
      </c>
      <c r="B44" s="377" t="s">
        <v>495</v>
      </c>
      <c r="C44" s="355" t="s">
        <v>471</v>
      </c>
      <c r="D44" s="893">
        <v>10</v>
      </c>
      <c r="E44" s="894"/>
      <c r="F44" s="895">
        <f t="shared" si="0"/>
        <v>10</v>
      </c>
      <c r="G44" s="896"/>
      <c r="H44" s="893">
        <v>227</v>
      </c>
      <c r="I44" s="894"/>
      <c r="J44" s="895">
        <f t="shared" si="1"/>
        <v>227</v>
      </c>
      <c r="K44" s="896"/>
      <c r="L44" s="893">
        <v>10</v>
      </c>
      <c r="M44" s="894"/>
      <c r="N44" s="895">
        <f t="shared" si="2"/>
        <v>10</v>
      </c>
      <c r="O44" s="982"/>
      <c r="P44" s="893">
        <v>45</v>
      </c>
      <c r="Q44" s="894"/>
      <c r="R44" s="895">
        <f t="shared" si="3"/>
        <v>45</v>
      </c>
      <c r="S44" s="982"/>
      <c r="T44" s="893">
        <v>33</v>
      </c>
      <c r="U44" s="894"/>
      <c r="V44" s="895">
        <f t="shared" si="4"/>
        <v>33</v>
      </c>
      <c r="W44" s="982"/>
      <c r="X44" s="893">
        <v>10</v>
      </c>
      <c r="Y44" s="894"/>
      <c r="Z44" s="895">
        <f t="shared" si="5"/>
        <v>10</v>
      </c>
    </row>
    <row r="45" spans="1:26" ht="12.75">
      <c r="A45" s="351" t="s">
        <v>496</v>
      </c>
      <c r="B45" s="377" t="s">
        <v>497</v>
      </c>
      <c r="C45" s="355" t="s">
        <v>473</v>
      </c>
      <c r="D45" s="893">
        <v>11</v>
      </c>
      <c r="E45" s="894"/>
      <c r="F45" s="895">
        <f t="shared" si="0"/>
        <v>11</v>
      </c>
      <c r="G45" s="896"/>
      <c r="H45" s="893">
        <v>35</v>
      </c>
      <c r="I45" s="894"/>
      <c r="J45" s="895">
        <f t="shared" si="1"/>
        <v>35</v>
      </c>
      <c r="K45" s="896"/>
      <c r="L45" s="893">
        <v>11</v>
      </c>
      <c r="M45" s="894"/>
      <c r="N45" s="895">
        <f t="shared" si="2"/>
        <v>11</v>
      </c>
      <c r="O45" s="982"/>
      <c r="P45" s="893">
        <v>9</v>
      </c>
      <c r="Q45" s="894"/>
      <c r="R45" s="895">
        <f t="shared" si="3"/>
        <v>9</v>
      </c>
      <c r="S45" s="982"/>
      <c r="T45" s="893">
        <v>10</v>
      </c>
      <c r="U45" s="894"/>
      <c r="V45" s="895">
        <f t="shared" si="4"/>
        <v>10</v>
      </c>
      <c r="W45" s="982"/>
      <c r="X45" s="893">
        <v>52</v>
      </c>
      <c r="Y45" s="894">
        <v>43</v>
      </c>
      <c r="Z45" s="895">
        <f t="shared" si="5"/>
        <v>9</v>
      </c>
    </row>
    <row r="46" spans="1:26" ht="12.75">
      <c r="A46" s="351"/>
      <c r="B46" s="376" t="s">
        <v>499</v>
      </c>
      <c r="C46" s="355" t="s">
        <v>498</v>
      </c>
      <c r="D46" s="897">
        <f>SUM(D47:D52)</f>
        <v>0</v>
      </c>
      <c r="E46" s="898">
        <f>SUM(E47:E52)</f>
        <v>0</v>
      </c>
      <c r="F46" s="899">
        <f t="shared" si="0"/>
        <v>0</v>
      </c>
      <c r="G46" s="896"/>
      <c r="H46" s="897">
        <f>SUM(H47:H52)</f>
        <v>1008</v>
      </c>
      <c r="I46" s="898">
        <f>SUM(I47:I52)</f>
        <v>0</v>
      </c>
      <c r="J46" s="899">
        <f t="shared" si="1"/>
        <v>1008</v>
      </c>
      <c r="K46" s="896"/>
      <c r="L46" s="897">
        <f>SUM(L47:L52)</f>
        <v>0</v>
      </c>
      <c r="M46" s="898">
        <f>SUM(M47:M52)</f>
        <v>0</v>
      </c>
      <c r="N46" s="899">
        <f t="shared" si="2"/>
        <v>0</v>
      </c>
      <c r="O46" s="982"/>
      <c r="P46" s="897">
        <f>SUM(P47:P52)</f>
        <v>0</v>
      </c>
      <c r="Q46" s="898">
        <f>SUM(Q47:Q52)</f>
        <v>0</v>
      </c>
      <c r="R46" s="899">
        <f t="shared" si="3"/>
        <v>0</v>
      </c>
      <c r="S46" s="982"/>
      <c r="T46" s="897">
        <f>SUM(T47:T52)</f>
        <v>1202</v>
      </c>
      <c r="U46" s="898">
        <f>SUM(U47:U52)</f>
        <v>0</v>
      </c>
      <c r="V46" s="899">
        <f t="shared" si="4"/>
        <v>1202</v>
      </c>
      <c r="W46" s="982"/>
      <c r="X46" s="897">
        <f>SUM(X47:X52)</f>
        <v>0</v>
      </c>
      <c r="Y46" s="898">
        <f>SUM(Y47:Y52)</f>
        <v>0</v>
      </c>
      <c r="Z46" s="899">
        <f t="shared" si="5"/>
        <v>0</v>
      </c>
    </row>
    <row r="47" spans="1:26" ht="12.75">
      <c r="A47" s="351" t="s">
        <v>1143</v>
      </c>
      <c r="B47" s="377" t="s">
        <v>501</v>
      </c>
      <c r="C47" s="355" t="s">
        <v>500</v>
      </c>
      <c r="D47" s="893"/>
      <c r="E47" s="894"/>
      <c r="F47" s="895">
        <f t="shared" si="0"/>
        <v>0</v>
      </c>
      <c r="G47" s="896"/>
      <c r="H47" s="893"/>
      <c r="I47" s="894"/>
      <c r="J47" s="895">
        <f t="shared" si="1"/>
        <v>0</v>
      </c>
      <c r="K47" s="896"/>
      <c r="L47" s="893"/>
      <c r="M47" s="894"/>
      <c r="N47" s="895">
        <f t="shared" si="2"/>
        <v>0</v>
      </c>
      <c r="O47" s="982"/>
      <c r="P47" s="893"/>
      <c r="Q47" s="894"/>
      <c r="R47" s="895">
        <f t="shared" si="3"/>
        <v>0</v>
      </c>
      <c r="S47" s="982"/>
      <c r="T47" s="893"/>
      <c r="U47" s="894"/>
      <c r="V47" s="895">
        <f t="shared" si="4"/>
        <v>0</v>
      </c>
      <c r="W47" s="982"/>
      <c r="X47" s="893"/>
      <c r="Y47" s="894"/>
      <c r="Z47" s="895">
        <f t="shared" si="5"/>
        <v>0</v>
      </c>
    </row>
    <row r="48" spans="1:26" ht="12.75">
      <c r="A48" s="351" t="s">
        <v>502</v>
      </c>
      <c r="B48" s="377" t="s">
        <v>503</v>
      </c>
      <c r="C48" s="355" t="s">
        <v>475</v>
      </c>
      <c r="D48" s="893"/>
      <c r="E48" s="894"/>
      <c r="F48" s="895">
        <f t="shared" si="0"/>
        <v>0</v>
      </c>
      <c r="G48" s="896"/>
      <c r="H48" s="893">
        <v>1008</v>
      </c>
      <c r="I48" s="894"/>
      <c r="J48" s="895">
        <f t="shared" si="1"/>
        <v>1008</v>
      </c>
      <c r="K48" s="896"/>
      <c r="L48" s="893"/>
      <c r="M48" s="894"/>
      <c r="N48" s="895">
        <f t="shared" si="2"/>
        <v>0</v>
      </c>
      <c r="O48" s="982"/>
      <c r="P48" s="893"/>
      <c r="Q48" s="894"/>
      <c r="R48" s="895">
        <f t="shared" si="3"/>
        <v>0</v>
      </c>
      <c r="S48" s="982"/>
      <c r="T48" s="893">
        <v>1202</v>
      </c>
      <c r="U48" s="894"/>
      <c r="V48" s="895">
        <f t="shared" si="4"/>
        <v>1202</v>
      </c>
      <c r="W48" s="982"/>
      <c r="X48" s="893"/>
      <c r="Y48" s="894"/>
      <c r="Z48" s="895">
        <f t="shared" si="5"/>
        <v>0</v>
      </c>
    </row>
    <row r="49" spans="1:26" ht="12.75">
      <c r="A49" s="351" t="s">
        <v>505</v>
      </c>
      <c r="B49" s="377" t="s">
        <v>506</v>
      </c>
      <c r="C49" s="355" t="s">
        <v>504</v>
      </c>
      <c r="D49" s="893"/>
      <c r="E49" s="894"/>
      <c r="F49" s="895">
        <f t="shared" si="0"/>
        <v>0</v>
      </c>
      <c r="G49" s="896"/>
      <c r="H49" s="893"/>
      <c r="I49" s="894"/>
      <c r="J49" s="895">
        <f t="shared" si="1"/>
        <v>0</v>
      </c>
      <c r="K49" s="896"/>
      <c r="L49" s="893"/>
      <c r="M49" s="894"/>
      <c r="N49" s="895">
        <f t="shared" si="2"/>
        <v>0</v>
      </c>
      <c r="O49" s="982"/>
      <c r="P49" s="893"/>
      <c r="Q49" s="894"/>
      <c r="R49" s="895">
        <f t="shared" si="3"/>
        <v>0</v>
      </c>
      <c r="S49" s="982"/>
      <c r="T49" s="893"/>
      <c r="U49" s="894"/>
      <c r="V49" s="895">
        <f t="shared" si="4"/>
        <v>0</v>
      </c>
      <c r="W49" s="982"/>
      <c r="X49" s="893"/>
      <c r="Y49" s="894"/>
      <c r="Z49" s="895">
        <f t="shared" si="5"/>
        <v>0</v>
      </c>
    </row>
    <row r="50" spans="1:26" ht="12.75">
      <c r="A50" s="351" t="s">
        <v>1144</v>
      </c>
      <c r="B50" s="377" t="s">
        <v>508</v>
      </c>
      <c r="C50" s="355" t="s">
        <v>507</v>
      </c>
      <c r="D50" s="893"/>
      <c r="E50" s="894"/>
      <c r="F50" s="895">
        <f t="shared" si="0"/>
        <v>0</v>
      </c>
      <c r="G50" s="896"/>
      <c r="H50" s="893"/>
      <c r="I50" s="894"/>
      <c r="J50" s="895">
        <f t="shared" si="1"/>
        <v>0</v>
      </c>
      <c r="K50" s="896"/>
      <c r="L50" s="893"/>
      <c r="M50" s="894"/>
      <c r="N50" s="895">
        <f t="shared" si="2"/>
        <v>0</v>
      </c>
      <c r="O50" s="982"/>
      <c r="P50" s="893"/>
      <c r="Q50" s="894"/>
      <c r="R50" s="895">
        <f t="shared" si="3"/>
        <v>0</v>
      </c>
      <c r="S50" s="982"/>
      <c r="T50" s="893"/>
      <c r="U50" s="894"/>
      <c r="V50" s="895">
        <f t="shared" si="4"/>
        <v>0</v>
      </c>
      <c r="W50" s="982"/>
      <c r="X50" s="893"/>
      <c r="Y50" s="894"/>
      <c r="Z50" s="895">
        <f t="shared" si="5"/>
        <v>0</v>
      </c>
    </row>
    <row r="51" spans="1:26" ht="12.75">
      <c r="A51" s="351" t="s">
        <v>770</v>
      </c>
      <c r="B51" s="377" t="s">
        <v>771</v>
      </c>
      <c r="C51" s="355" t="s">
        <v>509</v>
      </c>
      <c r="D51" s="893"/>
      <c r="E51" s="894"/>
      <c r="F51" s="895">
        <f t="shared" si="0"/>
        <v>0</v>
      </c>
      <c r="G51" s="896"/>
      <c r="H51" s="893"/>
      <c r="I51" s="894"/>
      <c r="J51" s="895"/>
      <c r="K51" s="896"/>
      <c r="L51" s="893"/>
      <c r="M51" s="894"/>
      <c r="N51" s="895"/>
      <c r="O51" s="982"/>
      <c r="P51" s="893"/>
      <c r="Q51" s="894"/>
      <c r="R51" s="895"/>
      <c r="S51" s="982"/>
      <c r="T51" s="893"/>
      <c r="U51" s="894"/>
      <c r="V51" s="895"/>
      <c r="W51" s="982"/>
      <c r="X51" s="893"/>
      <c r="Y51" s="894"/>
      <c r="Z51" s="895"/>
    </row>
    <row r="52" spans="1:26" ht="12.75">
      <c r="A52" s="351" t="s">
        <v>1091</v>
      </c>
      <c r="B52" s="377" t="s">
        <v>772</v>
      </c>
      <c r="C52" s="348" t="s">
        <v>511</v>
      </c>
      <c r="D52" s="893"/>
      <c r="E52" s="894"/>
      <c r="F52" s="895">
        <f t="shared" si="0"/>
        <v>0</v>
      </c>
      <c r="G52" s="896"/>
      <c r="H52" s="893"/>
      <c r="I52" s="894"/>
      <c r="J52" s="895">
        <f t="shared" si="1"/>
        <v>0</v>
      </c>
      <c r="K52" s="896"/>
      <c r="L52" s="893"/>
      <c r="M52" s="894"/>
      <c r="N52" s="895">
        <f t="shared" si="2"/>
        <v>0</v>
      </c>
      <c r="O52" s="982"/>
      <c r="P52" s="893"/>
      <c r="Q52" s="894"/>
      <c r="R52" s="895">
        <f t="shared" si="3"/>
        <v>0</v>
      </c>
      <c r="S52" s="982"/>
      <c r="T52" s="893"/>
      <c r="U52" s="894"/>
      <c r="V52" s="895">
        <f t="shared" si="4"/>
        <v>0</v>
      </c>
      <c r="W52" s="982"/>
      <c r="X52" s="893"/>
      <c r="Y52" s="894"/>
      <c r="Z52" s="895">
        <f t="shared" si="5"/>
        <v>0</v>
      </c>
    </row>
    <row r="53" spans="1:26" ht="12.75">
      <c r="A53" s="351"/>
      <c r="B53" s="376" t="s">
        <v>512</v>
      </c>
      <c r="C53" s="355" t="s">
        <v>513</v>
      </c>
      <c r="D53" s="897">
        <f>+D54+D55</f>
        <v>319</v>
      </c>
      <c r="E53" s="898">
        <f>+E54+E55</f>
        <v>0</v>
      </c>
      <c r="F53" s="899">
        <f t="shared" si="0"/>
        <v>319</v>
      </c>
      <c r="G53" s="896"/>
      <c r="H53" s="897">
        <f>+H54+H55</f>
        <v>64</v>
      </c>
      <c r="I53" s="898">
        <f>+I54+I55</f>
        <v>0</v>
      </c>
      <c r="J53" s="899">
        <f t="shared" si="1"/>
        <v>64</v>
      </c>
      <c r="K53" s="896"/>
      <c r="L53" s="897">
        <f>+L54+L55</f>
        <v>145</v>
      </c>
      <c r="M53" s="898">
        <f>+M54+M55</f>
        <v>0</v>
      </c>
      <c r="N53" s="899">
        <f t="shared" si="2"/>
        <v>145</v>
      </c>
      <c r="O53" s="982"/>
      <c r="P53" s="897">
        <f>+P54+P55</f>
        <v>439</v>
      </c>
      <c r="Q53" s="898">
        <f>+Q54+Q55</f>
        <v>0</v>
      </c>
      <c r="R53" s="899">
        <f t="shared" si="3"/>
        <v>439</v>
      </c>
      <c r="S53" s="982"/>
      <c r="T53" s="897">
        <f>+T54+T55</f>
        <v>240</v>
      </c>
      <c r="U53" s="898">
        <f>+U54+U55</f>
        <v>0</v>
      </c>
      <c r="V53" s="899">
        <f t="shared" si="4"/>
        <v>240</v>
      </c>
      <c r="W53" s="982"/>
      <c r="X53" s="897">
        <f>+X54+X55</f>
        <v>256</v>
      </c>
      <c r="Y53" s="898">
        <f>+Y54+Y55</f>
        <v>0</v>
      </c>
      <c r="Z53" s="899">
        <f t="shared" si="5"/>
        <v>256</v>
      </c>
    </row>
    <row r="54" spans="1:26" ht="12.75">
      <c r="A54" s="351" t="s">
        <v>1145</v>
      </c>
      <c r="B54" s="377" t="s">
        <v>514</v>
      </c>
      <c r="C54" s="348" t="s">
        <v>515</v>
      </c>
      <c r="D54" s="893"/>
      <c r="E54" s="894"/>
      <c r="F54" s="895">
        <f t="shared" si="0"/>
        <v>0</v>
      </c>
      <c r="G54" s="896"/>
      <c r="H54" s="893"/>
      <c r="I54" s="894"/>
      <c r="J54" s="895">
        <f t="shared" si="1"/>
        <v>0</v>
      </c>
      <c r="K54" s="896"/>
      <c r="L54" s="893"/>
      <c r="M54" s="894"/>
      <c r="N54" s="895">
        <f t="shared" si="2"/>
        <v>0</v>
      </c>
      <c r="O54" s="982"/>
      <c r="P54" s="893"/>
      <c r="Q54" s="894"/>
      <c r="R54" s="895">
        <f t="shared" si="3"/>
        <v>0</v>
      </c>
      <c r="S54" s="982"/>
      <c r="T54" s="893"/>
      <c r="U54" s="894"/>
      <c r="V54" s="895">
        <f t="shared" si="4"/>
        <v>0</v>
      </c>
      <c r="W54" s="982"/>
      <c r="X54" s="893"/>
      <c r="Y54" s="894"/>
      <c r="Z54" s="895">
        <f t="shared" si="5"/>
        <v>0</v>
      </c>
    </row>
    <row r="55" spans="1:26" ht="12.75">
      <c r="A55" s="351" t="s">
        <v>516</v>
      </c>
      <c r="B55" s="377" t="s">
        <v>517</v>
      </c>
      <c r="C55" s="355" t="s">
        <v>518</v>
      </c>
      <c r="D55" s="893">
        <v>319</v>
      </c>
      <c r="E55" s="894"/>
      <c r="F55" s="895">
        <f t="shared" si="0"/>
        <v>319</v>
      </c>
      <c r="G55" s="896"/>
      <c r="H55" s="893">
        <v>64</v>
      </c>
      <c r="I55" s="894"/>
      <c r="J55" s="895">
        <f t="shared" si="1"/>
        <v>64</v>
      </c>
      <c r="K55" s="896"/>
      <c r="L55" s="893">
        <v>145</v>
      </c>
      <c r="M55" s="894"/>
      <c r="N55" s="895">
        <f t="shared" si="2"/>
        <v>145</v>
      </c>
      <c r="O55" s="982"/>
      <c r="P55" s="893">
        <v>439</v>
      </c>
      <c r="Q55" s="894"/>
      <c r="R55" s="895">
        <f t="shared" si="3"/>
        <v>439</v>
      </c>
      <c r="S55" s="982"/>
      <c r="T55" s="893">
        <v>240</v>
      </c>
      <c r="U55" s="894"/>
      <c r="V55" s="895">
        <f t="shared" si="4"/>
        <v>240</v>
      </c>
      <c r="W55" s="982"/>
      <c r="X55" s="893">
        <v>256</v>
      </c>
      <c r="Y55" s="894"/>
      <c r="Z55" s="895">
        <f t="shared" si="5"/>
        <v>256</v>
      </c>
    </row>
    <row r="56" spans="1:26" ht="12.75">
      <c r="A56" s="351" t="s">
        <v>1116</v>
      </c>
      <c r="B56" s="377" t="s">
        <v>519</v>
      </c>
      <c r="C56" s="348" t="s">
        <v>520</v>
      </c>
      <c r="D56" s="893"/>
      <c r="E56" s="894"/>
      <c r="F56" s="895">
        <f t="shared" si="0"/>
        <v>0</v>
      </c>
      <c r="G56" s="896"/>
      <c r="H56" s="893"/>
      <c r="I56" s="894"/>
      <c r="J56" s="895">
        <f t="shared" si="1"/>
        <v>0</v>
      </c>
      <c r="K56" s="896"/>
      <c r="L56" s="893"/>
      <c r="M56" s="894"/>
      <c r="N56" s="895">
        <f t="shared" si="2"/>
        <v>0</v>
      </c>
      <c r="O56" s="982"/>
      <c r="P56" s="893"/>
      <c r="Q56" s="894"/>
      <c r="R56" s="895">
        <f t="shared" si="3"/>
        <v>0</v>
      </c>
      <c r="S56" s="982"/>
      <c r="T56" s="893"/>
      <c r="U56" s="894"/>
      <c r="V56" s="895">
        <f t="shared" si="4"/>
        <v>0</v>
      </c>
      <c r="W56" s="982"/>
      <c r="X56" s="893"/>
      <c r="Y56" s="894"/>
      <c r="Z56" s="895">
        <f t="shared" si="5"/>
        <v>0</v>
      </c>
    </row>
    <row r="57" spans="1:26" ht="12.75">
      <c r="A57" s="351"/>
      <c r="B57" s="376" t="s">
        <v>521</v>
      </c>
      <c r="C57" s="355" t="s">
        <v>522</v>
      </c>
      <c r="D57" s="897">
        <f>+D9+D10+D33+D56</f>
        <v>184053</v>
      </c>
      <c r="E57" s="898">
        <f>+E9+E10+E33+E56</f>
        <v>116952</v>
      </c>
      <c r="F57" s="899">
        <f t="shared" si="0"/>
        <v>67101</v>
      </c>
      <c r="G57" s="896"/>
      <c r="H57" s="897">
        <f>+H9+H10+H33+H56</f>
        <v>145196</v>
      </c>
      <c r="I57" s="898">
        <f>+I9+I10+I33+I56</f>
        <v>95140</v>
      </c>
      <c r="J57" s="899">
        <f t="shared" si="1"/>
        <v>50056</v>
      </c>
      <c r="K57" s="896"/>
      <c r="L57" s="897">
        <f>+L9+L10+L33+L56</f>
        <v>102546</v>
      </c>
      <c r="M57" s="898">
        <f>+M9+M10+M33+M56</f>
        <v>62348</v>
      </c>
      <c r="N57" s="899">
        <f t="shared" si="2"/>
        <v>40198</v>
      </c>
      <c r="O57" s="982"/>
      <c r="P57" s="897">
        <f>+P9+P10+P33+P56</f>
        <v>48954</v>
      </c>
      <c r="Q57" s="898">
        <f>+Q9+Q10+Q33+Q56</f>
        <v>27526</v>
      </c>
      <c r="R57" s="899">
        <f t="shared" si="3"/>
        <v>21428</v>
      </c>
      <c r="S57" s="982"/>
      <c r="T57" s="897">
        <f>+T9+T10+T33+T56</f>
        <v>32375</v>
      </c>
      <c r="U57" s="898">
        <f>+U9+U10+U33+U56</f>
        <v>16796</v>
      </c>
      <c r="V57" s="899">
        <f t="shared" si="4"/>
        <v>15579</v>
      </c>
      <c r="W57" s="982"/>
      <c r="X57" s="897">
        <f>+X9+X10+X33+X56</f>
        <v>30007</v>
      </c>
      <c r="Y57" s="898">
        <f>+Y9+Y10+Y33+Y56</f>
        <v>19091</v>
      </c>
      <c r="Z57" s="899">
        <f t="shared" si="5"/>
        <v>10916</v>
      </c>
    </row>
    <row r="58" spans="1:26" ht="12.75">
      <c r="A58" s="351" t="s">
        <v>1117</v>
      </c>
      <c r="B58" s="376" t="s">
        <v>523</v>
      </c>
      <c r="C58" s="348" t="s">
        <v>524</v>
      </c>
      <c r="D58" s="897">
        <f>SUM(D59:D60)</f>
        <v>28610</v>
      </c>
      <c r="E58" s="898">
        <f>SUM(E59:E60)</f>
        <v>0</v>
      </c>
      <c r="F58" s="899">
        <f t="shared" si="0"/>
        <v>28610</v>
      </c>
      <c r="G58" s="896"/>
      <c r="H58" s="897">
        <f>SUM(H59:H60)</f>
        <v>25052</v>
      </c>
      <c r="I58" s="898">
        <f>SUM(I59:I60)</f>
        <v>0</v>
      </c>
      <c r="J58" s="899">
        <f t="shared" si="1"/>
        <v>25052</v>
      </c>
      <c r="K58" s="896"/>
      <c r="L58" s="897">
        <f>SUM(L59:L60)</f>
        <v>15018</v>
      </c>
      <c r="M58" s="898">
        <f>SUM(M59:M60)</f>
        <v>0</v>
      </c>
      <c r="N58" s="899">
        <f t="shared" si="2"/>
        <v>15018</v>
      </c>
      <c r="O58" s="982"/>
      <c r="P58" s="897">
        <f>SUM(P59:P60)</f>
        <v>5555</v>
      </c>
      <c r="Q58" s="898">
        <f>SUM(Q59:Q60)</f>
        <v>0</v>
      </c>
      <c r="R58" s="899">
        <f t="shared" si="3"/>
        <v>5555</v>
      </c>
      <c r="S58" s="982"/>
      <c r="T58" s="897">
        <f>SUM(T59:T60)</f>
        <v>1883</v>
      </c>
      <c r="U58" s="898">
        <f>SUM(U59:U60)</f>
        <v>0</v>
      </c>
      <c r="V58" s="899">
        <f t="shared" si="4"/>
        <v>1883</v>
      </c>
      <c r="W58" s="982"/>
      <c r="X58" s="897">
        <f>SUM(X59:X60)</f>
        <v>514</v>
      </c>
      <c r="Y58" s="898">
        <f>SUM(Y59:Y60)</f>
        <v>0</v>
      </c>
      <c r="Z58" s="899">
        <f t="shared" si="5"/>
        <v>514</v>
      </c>
    </row>
    <row r="59" spans="1:26" ht="12.75">
      <c r="A59" s="351" t="s">
        <v>525</v>
      </c>
      <c r="B59" s="377" t="s">
        <v>526</v>
      </c>
      <c r="C59" s="355" t="s">
        <v>527</v>
      </c>
      <c r="D59" s="893">
        <v>28610</v>
      </c>
      <c r="E59" s="894"/>
      <c r="F59" s="895">
        <f t="shared" si="0"/>
        <v>28610</v>
      </c>
      <c r="G59" s="896"/>
      <c r="H59" s="893">
        <v>20830</v>
      </c>
      <c r="I59" s="894"/>
      <c r="J59" s="895">
        <f t="shared" si="1"/>
        <v>20830</v>
      </c>
      <c r="K59" s="896"/>
      <c r="L59" s="893">
        <v>11849</v>
      </c>
      <c r="M59" s="894"/>
      <c r="N59" s="895">
        <f t="shared" si="2"/>
        <v>11849</v>
      </c>
      <c r="O59" s="982"/>
      <c r="P59" s="893">
        <v>2825</v>
      </c>
      <c r="Q59" s="894"/>
      <c r="R59" s="895">
        <f t="shared" si="3"/>
        <v>2825</v>
      </c>
      <c r="S59" s="982"/>
      <c r="T59" s="893">
        <v>123</v>
      </c>
      <c r="U59" s="894"/>
      <c r="V59" s="895">
        <f t="shared" si="4"/>
        <v>123</v>
      </c>
      <c r="W59" s="982"/>
      <c r="X59" s="893">
        <v>514</v>
      </c>
      <c r="Y59" s="894"/>
      <c r="Z59" s="895">
        <f t="shared" si="5"/>
        <v>514</v>
      </c>
    </row>
    <row r="60" spans="1:26" ht="12.75">
      <c r="A60" s="351" t="s">
        <v>528</v>
      </c>
      <c r="B60" s="377" t="s">
        <v>529</v>
      </c>
      <c r="C60" s="348" t="s">
        <v>530</v>
      </c>
      <c r="D60" s="893"/>
      <c r="E60" s="894"/>
      <c r="F60" s="895">
        <f t="shared" si="0"/>
        <v>0</v>
      </c>
      <c r="G60" s="896"/>
      <c r="H60" s="893">
        <v>4222</v>
      </c>
      <c r="I60" s="894"/>
      <c r="J60" s="895">
        <f t="shared" si="1"/>
        <v>4222</v>
      </c>
      <c r="K60" s="896"/>
      <c r="L60" s="893">
        <v>3169</v>
      </c>
      <c r="M60" s="894"/>
      <c r="N60" s="895">
        <f t="shared" si="2"/>
        <v>3169</v>
      </c>
      <c r="O60" s="982"/>
      <c r="P60" s="893">
        <v>2730</v>
      </c>
      <c r="Q60" s="894"/>
      <c r="R60" s="895">
        <f t="shared" si="3"/>
        <v>2730</v>
      </c>
      <c r="S60" s="982"/>
      <c r="T60" s="893">
        <v>1760</v>
      </c>
      <c r="U60" s="894"/>
      <c r="V60" s="895">
        <f t="shared" si="4"/>
        <v>1760</v>
      </c>
      <c r="W60" s="982"/>
      <c r="X60" s="893"/>
      <c r="Y60" s="894"/>
      <c r="Z60" s="895">
        <f t="shared" si="5"/>
        <v>0</v>
      </c>
    </row>
    <row r="61" spans="1:26" ht="12.75">
      <c r="A61" s="351"/>
      <c r="B61" s="376" t="s">
        <v>531</v>
      </c>
      <c r="C61" s="350" t="s">
        <v>532</v>
      </c>
      <c r="D61" s="897">
        <f>+D57+D58</f>
        <v>212663</v>
      </c>
      <c r="E61" s="898">
        <f>+E57+E58</f>
        <v>116952</v>
      </c>
      <c r="F61" s="899">
        <f t="shared" si="0"/>
        <v>95711</v>
      </c>
      <c r="G61" s="896"/>
      <c r="H61" s="897">
        <f>+H57+H58</f>
        <v>170248</v>
      </c>
      <c r="I61" s="898">
        <f>+I57+I58</f>
        <v>95140</v>
      </c>
      <c r="J61" s="899">
        <f t="shared" si="1"/>
        <v>75108</v>
      </c>
      <c r="K61" s="896"/>
      <c r="L61" s="897">
        <f>+L57+L58</f>
        <v>117564</v>
      </c>
      <c r="M61" s="898">
        <f>+M57+M58</f>
        <v>62348</v>
      </c>
      <c r="N61" s="899">
        <f t="shared" si="2"/>
        <v>55216</v>
      </c>
      <c r="O61" s="982"/>
      <c r="P61" s="897">
        <f>+P57+P58</f>
        <v>54509</v>
      </c>
      <c r="Q61" s="898">
        <f>+Q57+Q58</f>
        <v>27526</v>
      </c>
      <c r="R61" s="899">
        <f t="shared" si="3"/>
        <v>26983</v>
      </c>
      <c r="S61" s="982"/>
      <c r="T61" s="897">
        <f>+T57+T58</f>
        <v>34258</v>
      </c>
      <c r="U61" s="898">
        <f>+U57+U58</f>
        <v>16796</v>
      </c>
      <c r="V61" s="899">
        <f t="shared" si="4"/>
        <v>17462</v>
      </c>
      <c r="W61" s="982"/>
      <c r="X61" s="897">
        <f>+X57+X58</f>
        <v>30521</v>
      </c>
      <c r="Y61" s="898">
        <f>+Y57+Y58</f>
        <v>19091</v>
      </c>
      <c r="Z61" s="899">
        <f t="shared" si="5"/>
        <v>11430</v>
      </c>
    </row>
    <row r="62" spans="1:26" ht="12.75">
      <c r="A62" s="351" t="s">
        <v>1133</v>
      </c>
      <c r="B62" s="377" t="s">
        <v>533</v>
      </c>
      <c r="C62" s="348" t="s">
        <v>534</v>
      </c>
      <c r="D62" s="893"/>
      <c r="E62" s="894"/>
      <c r="F62" s="895">
        <f t="shared" si="0"/>
        <v>0</v>
      </c>
      <c r="G62" s="896"/>
      <c r="H62" s="893"/>
      <c r="I62" s="894"/>
      <c r="J62" s="895">
        <f t="shared" si="1"/>
        <v>0</v>
      </c>
      <c r="K62" s="896"/>
      <c r="L62" s="893">
        <v>187</v>
      </c>
      <c r="M62" s="894"/>
      <c r="N62" s="895">
        <f t="shared" si="2"/>
        <v>187</v>
      </c>
      <c r="O62" s="982"/>
      <c r="P62" s="893">
        <v>123</v>
      </c>
      <c r="Q62" s="894"/>
      <c r="R62" s="895">
        <f t="shared" si="3"/>
        <v>123</v>
      </c>
      <c r="S62" s="982"/>
      <c r="T62" s="893">
        <v>84</v>
      </c>
      <c r="U62" s="894"/>
      <c r="V62" s="895">
        <f t="shared" si="4"/>
        <v>84</v>
      </c>
      <c r="W62" s="982"/>
      <c r="X62" s="893">
        <v>46</v>
      </c>
      <c r="Y62" s="894"/>
      <c r="Z62" s="895">
        <f t="shared" si="5"/>
        <v>46</v>
      </c>
    </row>
    <row r="63" spans="1:26" ht="12.75">
      <c r="A63" s="351"/>
      <c r="B63" s="376" t="s">
        <v>535</v>
      </c>
      <c r="C63" s="350" t="s">
        <v>536</v>
      </c>
      <c r="D63" s="897">
        <f>+D61+D62</f>
        <v>212663</v>
      </c>
      <c r="E63" s="898">
        <f>+E61+E62</f>
        <v>116952</v>
      </c>
      <c r="F63" s="899">
        <f t="shared" si="0"/>
        <v>95711</v>
      </c>
      <c r="G63" s="896"/>
      <c r="H63" s="897">
        <f>+H61+H62</f>
        <v>170248</v>
      </c>
      <c r="I63" s="898">
        <f>+I61+I62</f>
        <v>95140</v>
      </c>
      <c r="J63" s="899">
        <f t="shared" si="1"/>
        <v>75108</v>
      </c>
      <c r="K63" s="896"/>
      <c r="L63" s="897">
        <f>+L61+L62</f>
        <v>117751</v>
      </c>
      <c r="M63" s="898">
        <f>+M61+M62</f>
        <v>62348</v>
      </c>
      <c r="N63" s="899">
        <f t="shared" si="2"/>
        <v>55403</v>
      </c>
      <c r="O63" s="982"/>
      <c r="P63" s="897">
        <f>+P61+P62</f>
        <v>54632</v>
      </c>
      <c r="Q63" s="898">
        <f>+Q61+Q62</f>
        <v>27526</v>
      </c>
      <c r="R63" s="899">
        <f t="shared" si="3"/>
        <v>27106</v>
      </c>
      <c r="S63" s="982"/>
      <c r="T63" s="897">
        <f>+T61+T62</f>
        <v>34342</v>
      </c>
      <c r="U63" s="898">
        <f>+U61+U62</f>
        <v>16796</v>
      </c>
      <c r="V63" s="899">
        <f t="shared" si="4"/>
        <v>17546</v>
      </c>
      <c r="W63" s="982"/>
      <c r="X63" s="897">
        <f>+X61+X62</f>
        <v>30567</v>
      </c>
      <c r="Y63" s="898">
        <f>+Y61+Y62</f>
        <v>19091</v>
      </c>
      <c r="Z63" s="899">
        <f t="shared" si="5"/>
        <v>11476</v>
      </c>
    </row>
    <row r="64" spans="1:26" ht="13.5" thickBot="1">
      <c r="A64" s="356" t="s">
        <v>1136</v>
      </c>
      <c r="B64" s="378" t="s">
        <v>537</v>
      </c>
      <c r="C64" s="357" t="s">
        <v>538</v>
      </c>
      <c r="D64" s="900">
        <v>2886</v>
      </c>
      <c r="E64" s="901"/>
      <c r="F64" s="902">
        <f t="shared" si="0"/>
        <v>2886</v>
      </c>
      <c r="G64" s="896"/>
      <c r="H64" s="900"/>
      <c r="I64" s="901"/>
      <c r="J64" s="902">
        <f t="shared" si="1"/>
        <v>0</v>
      </c>
      <c r="K64" s="896"/>
      <c r="L64" s="900"/>
      <c r="M64" s="901"/>
      <c r="N64" s="902">
        <f t="shared" si="2"/>
        <v>0</v>
      </c>
      <c r="O64" s="982"/>
      <c r="P64" s="900"/>
      <c r="Q64" s="901"/>
      <c r="R64" s="902">
        <f t="shared" si="3"/>
        <v>0</v>
      </c>
      <c r="S64" s="982"/>
      <c r="T64" s="900"/>
      <c r="U64" s="901"/>
      <c r="V64" s="902">
        <f t="shared" si="4"/>
        <v>0</v>
      </c>
      <c r="W64" s="982"/>
      <c r="X64" s="900"/>
      <c r="Y64" s="901"/>
      <c r="Z64" s="902">
        <f t="shared" si="5"/>
        <v>0</v>
      </c>
    </row>
    <row r="65" spans="1:26" ht="13.5" thickTop="1">
      <c r="A65" s="348"/>
      <c r="B65" s="379"/>
      <c r="C65" s="348"/>
      <c r="D65" s="903"/>
      <c r="E65" s="903"/>
      <c r="F65" s="903"/>
      <c r="G65" s="896"/>
      <c r="H65" s="903"/>
      <c r="I65" s="903"/>
      <c r="J65" s="903"/>
      <c r="K65" s="896"/>
      <c r="L65" s="903"/>
      <c r="M65" s="903"/>
      <c r="N65" s="903"/>
      <c r="O65" s="982"/>
      <c r="P65" s="903"/>
      <c r="Q65" s="903"/>
      <c r="R65" s="903"/>
      <c r="S65" s="982"/>
      <c r="T65" s="903"/>
      <c r="U65" s="903"/>
      <c r="V65" s="903"/>
      <c r="W65" s="982"/>
      <c r="X65" s="903"/>
      <c r="Y65" s="903"/>
      <c r="Z65" s="903"/>
    </row>
    <row r="66" spans="1:26" ht="12.75">
      <c r="A66" s="348"/>
      <c r="B66" s="379"/>
      <c r="C66" s="348"/>
      <c r="D66" s="903"/>
      <c r="E66" s="903"/>
      <c r="F66" s="903"/>
      <c r="G66" s="896"/>
      <c r="H66" s="903"/>
      <c r="I66" s="903"/>
      <c r="J66" s="903"/>
      <c r="K66" s="896"/>
      <c r="L66" s="903"/>
      <c r="M66" s="903"/>
      <c r="N66" s="903"/>
      <c r="O66" s="982"/>
      <c r="P66" s="903"/>
      <c r="Q66" s="903"/>
      <c r="R66" s="903"/>
      <c r="S66" s="982"/>
      <c r="T66" s="903"/>
      <c r="U66" s="903"/>
      <c r="V66" s="903"/>
      <c r="W66" s="982"/>
      <c r="X66" s="903"/>
      <c r="Y66" s="903"/>
      <c r="Z66" s="903"/>
    </row>
    <row r="67" spans="1:26" ht="13.5" thickBot="1">
      <c r="A67" s="380"/>
      <c r="B67" s="381"/>
      <c r="C67" s="904"/>
      <c r="D67" s="896"/>
      <c r="E67" s="896"/>
      <c r="F67" s="896"/>
      <c r="G67" s="896"/>
      <c r="H67" s="896"/>
      <c r="I67" s="896"/>
      <c r="J67" s="896"/>
      <c r="K67" s="896"/>
      <c r="L67" s="896"/>
      <c r="M67" s="896"/>
      <c r="N67" s="896"/>
      <c r="O67" s="982"/>
      <c r="P67" s="896"/>
      <c r="Q67" s="896"/>
      <c r="R67" s="896"/>
      <c r="S67" s="982"/>
      <c r="T67" s="896"/>
      <c r="U67" s="896"/>
      <c r="V67" s="896"/>
      <c r="W67" s="982"/>
      <c r="X67" s="896"/>
      <c r="Y67" s="896"/>
      <c r="Z67" s="896"/>
    </row>
    <row r="68" spans="1:26" ht="13.5" thickTop="1">
      <c r="A68" s="382"/>
      <c r="B68" s="383"/>
      <c r="C68" s="905"/>
      <c r="D68" s="896"/>
      <c r="E68" s="896"/>
      <c r="F68" s="906" t="str">
        <f>+$B$3</f>
        <v>U 000 din</v>
      </c>
      <c r="G68" s="896"/>
      <c r="H68" s="896"/>
      <c r="I68" s="896"/>
      <c r="J68" s="906" t="str">
        <f>+$B$3</f>
        <v>U 000 din</v>
      </c>
      <c r="K68" s="896"/>
      <c r="L68" s="896"/>
      <c r="M68" s="896"/>
      <c r="N68" s="906" t="str">
        <f>+$B$3</f>
        <v>U 000 din</v>
      </c>
      <c r="O68" s="982"/>
      <c r="P68" s="896"/>
      <c r="Q68" s="896"/>
      <c r="R68" s="906" t="str">
        <f>+$B$3</f>
        <v>U 000 din</v>
      </c>
      <c r="S68" s="982"/>
      <c r="T68" s="896"/>
      <c r="U68" s="896"/>
      <c r="V68" s="906" t="str">
        <f>+$B$3</f>
        <v>U 000 din</v>
      </c>
      <c r="W68" s="982"/>
      <c r="X68" s="896"/>
      <c r="Y68" s="896"/>
      <c r="Z68" s="906" t="str">
        <f>+$B$3</f>
        <v>U 000 din</v>
      </c>
    </row>
    <row r="69" spans="1:26" ht="12.75">
      <c r="A69" s="373" t="s">
        <v>539</v>
      </c>
      <c r="B69" s="374" t="s">
        <v>423</v>
      </c>
      <c r="C69" s="384" t="s">
        <v>424</v>
      </c>
      <c r="D69" s="896"/>
      <c r="E69" s="896"/>
      <c r="F69" s="907" t="s">
        <v>426</v>
      </c>
      <c r="G69" s="896"/>
      <c r="H69" s="896"/>
      <c r="I69" s="896"/>
      <c r="J69" s="907" t="s">
        <v>426</v>
      </c>
      <c r="K69" s="896"/>
      <c r="L69" s="896"/>
      <c r="M69" s="896"/>
      <c r="N69" s="907" t="s">
        <v>426</v>
      </c>
      <c r="O69" s="982"/>
      <c r="P69" s="896"/>
      <c r="Q69" s="896"/>
      <c r="R69" s="907" t="s">
        <v>426</v>
      </c>
      <c r="S69" s="982"/>
      <c r="T69" s="896"/>
      <c r="U69" s="896"/>
      <c r="V69" s="907" t="s">
        <v>426</v>
      </c>
      <c r="W69" s="982"/>
      <c r="X69" s="896"/>
      <c r="Y69" s="896"/>
      <c r="Z69" s="907" t="s">
        <v>426</v>
      </c>
    </row>
    <row r="70" spans="1:26" ht="13.5" thickBot="1">
      <c r="A70" s="343">
        <v>1</v>
      </c>
      <c r="B70" s="344">
        <v>2</v>
      </c>
      <c r="C70" s="346">
        <v>3</v>
      </c>
      <c r="D70" s="896"/>
      <c r="E70" s="896"/>
      <c r="F70" s="908">
        <v>4</v>
      </c>
      <c r="G70" s="896"/>
      <c r="H70" s="896"/>
      <c r="I70" s="896"/>
      <c r="J70" s="908">
        <v>4</v>
      </c>
      <c r="K70" s="896"/>
      <c r="L70" s="896"/>
      <c r="M70" s="896"/>
      <c r="N70" s="908">
        <v>4</v>
      </c>
      <c r="O70" s="982"/>
      <c r="P70" s="896"/>
      <c r="Q70" s="896"/>
      <c r="R70" s="908">
        <v>4</v>
      </c>
      <c r="S70" s="982"/>
      <c r="T70" s="896"/>
      <c r="U70" s="896"/>
      <c r="V70" s="908">
        <v>4</v>
      </c>
      <c r="W70" s="982"/>
      <c r="X70" s="896"/>
      <c r="Y70" s="896"/>
      <c r="Z70" s="908">
        <v>4</v>
      </c>
    </row>
    <row r="71" spans="1:26" ht="25.5">
      <c r="A71" s="349"/>
      <c r="B71" s="347" t="s">
        <v>1491</v>
      </c>
      <c r="C71" s="358" t="s">
        <v>200</v>
      </c>
      <c r="D71" s="896"/>
      <c r="E71" s="896"/>
      <c r="F71" s="909">
        <f>+F72+F81+F82+F85</f>
        <v>77921</v>
      </c>
      <c r="G71" s="896"/>
      <c r="H71" s="896"/>
      <c r="I71" s="896"/>
      <c r="J71" s="909">
        <f>+J72+J81+J82+J85</f>
        <v>67626</v>
      </c>
      <c r="K71" s="896"/>
      <c r="L71" s="896"/>
      <c r="M71" s="896"/>
      <c r="N71" s="909">
        <f>+N72+N81+N82+N85</f>
        <v>50252</v>
      </c>
      <c r="O71" s="982"/>
      <c r="P71" s="896"/>
      <c r="Q71" s="896"/>
      <c r="R71" s="909">
        <f>+R72+R81+R82+R85</f>
        <v>23560</v>
      </c>
      <c r="S71" s="982"/>
      <c r="T71" s="896"/>
      <c r="U71" s="896"/>
      <c r="V71" s="909">
        <f>+V72+V81+V82+V85</f>
        <v>15696</v>
      </c>
      <c r="W71" s="982"/>
      <c r="X71" s="896"/>
      <c r="Y71" s="896"/>
      <c r="Z71" s="909">
        <f>+Z72+Z81+Z82+Z85</f>
        <v>10428</v>
      </c>
    </row>
    <row r="72" spans="1:26" ht="12.75">
      <c r="A72" s="349"/>
      <c r="B72" s="376" t="s">
        <v>540</v>
      </c>
      <c r="C72" s="358" t="s">
        <v>201</v>
      </c>
      <c r="D72" s="896"/>
      <c r="E72" s="896"/>
      <c r="F72" s="910">
        <f>SUM(F73:F80)</f>
        <v>50252</v>
      </c>
      <c r="G72" s="896"/>
      <c r="H72" s="896"/>
      <c r="I72" s="896"/>
      <c r="J72" s="910">
        <f>SUM(J73:J80)</f>
        <v>50252</v>
      </c>
      <c r="K72" s="896"/>
      <c r="L72" s="896"/>
      <c r="M72" s="896"/>
      <c r="N72" s="910">
        <f>SUM(N73:N80)</f>
        <v>50252</v>
      </c>
      <c r="O72" s="982"/>
      <c r="P72" s="896"/>
      <c r="Q72" s="896"/>
      <c r="R72" s="910">
        <f>SUM(R73:R80)</f>
        <v>23560</v>
      </c>
      <c r="S72" s="982"/>
      <c r="T72" s="896"/>
      <c r="U72" s="896"/>
      <c r="V72" s="910">
        <f>SUM(V73:V80)</f>
        <v>15696</v>
      </c>
      <c r="W72" s="982"/>
      <c r="X72" s="896"/>
      <c r="Y72" s="896"/>
      <c r="Z72" s="910">
        <f>SUM(Z73:Z80)</f>
        <v>9952</v>
      </c>
    </row>
    <row r="73" spans="1:26" ht="12.75">
      <c r="A73" s="351" t="s">
        <v>1180</v>
      </c>
      <c r="B73" s="354" t="s">
        <v>541</v>
      </c>
      <c r="C73" s="359" t="s">
        <v>837</v>
      </c>
      <c r="D73" s="896"/>
      <c r="E73" s="896"/>
      <c r="F73" s="911">
        <v>1126</v>
      </c>
      <c r="G73" s="896"/>
      <c r="H73" s="896"/>
      <c r="I73" s="896"/>
      <c r="J73" s="911">
        <v>1126</v>
      </c>
      <c r="K73" s="896"/>
      <c r="L73" s="896"/>
      <c r="M73" s="896"/>
      <c r="N73" s="911">
        <v>1126</v>
      </c>
      <c r="O73" s="982"/>
      <c r="P73" s="896"/>
      <c r="Q73" s="896"/>
      <c r="R73" s="911">
        <v>528</v>
      </c>
      <c r="S73" s="982"/>
      <c r="T73" s="896"/>
      <c r="U73" s="896"/>
      <c r="V73" s="911">
        <v>352</v>
      </c>
      <c r="W73" s="982"/>
      <c r="X73" s="896"/>
      <c r="Y73" s="896"/>
      <c r="Z73" s="911">
        <v>223</v>
      </c>
    </row>
    <row r="74" spans="1:26" ht="12.75">
      <c r="A74" s="351" t="s">
        <v>1181</v>
      </c>
      <c r="B74" s="354" t="s">
        <v>542</v>
      </c>
      <c r="C74" s="359" t="s">
        <v>202</v>
      </c>
      <c r="D74" s="896"/>
      <c r="E74" s="896"/>
      <c r="F74" s="911"/>
      <c r="G74" s="896"/>
      <c r="H74" s="896"/>
      <c r="I74" s="896"/>
      <c r="J74" s="911"/>
      <c r="K74" s="896"/>
      <c r="L74" s="896"/>
      <c r="M74" s="896"/>
      <c r="N74" s="911"/>
      <c r="O74" s="982"/>
      <c r="P74" s="896"/>
      <c r="Q74" s="896"/>
      <c r="R74" s="911"/>
      <c r="S74" s="982"/>
      <c r="T74" s="896"/>
      <c r="U74" s="896"/>
      <c r="V74" s="911"/>
      <c r="W74" s="982"/>
      <c r="X74" s="896"/>
      <c r="Y74" s="896"/>
      <c r="Z74" s="911"/>
    </row>
    <row r="75" spans="1:26" ht="12.75">
      <c r="A75" s="351" t="s">
        <v>543</v>
      </c>
      <c r="B75" s="354" t="s">
        <v>544</v>
      </c>
      <c r="C75" s="359" t="s">
        <v>1128</v>
      </c>
      <c r="D75" s="896"/>
      <c r="E75" s="896"/>
      <c r="F75" s="911"/>
      <c r="G75" s="896"/>
      <c r="H75" s="896"/>
      <c r="I75" s="896"/>
      <c r="J75" s="911"/>
      <c r="K75" s="896"/>
      <c r="L75" s="896"/>
      <c r="M75" s="896"/>
      <c r="N75" s="911"/>
      <c r="O75" s="982"/>
      <c r="P75" s="896"/>
      <c r="Q75" s="896"/>
      <c r="R75" s="911"/>
      <c r="S75" s="982"/>
      <c r="T75" s="896"/>
      <c r="U75" s="896"/>
      <c r="V75" s="911"/>
      <c r="W75" s="982"/>
      <c r="X75" s="896"/>
      <c r="Y75" s="896"/>
      <c r="Z75" s="911"/>
    </row>
    <row r="76" spans="1:26" ht="12.75">
      <c r="A76" s="351" t="s">
        <v>545</v>
      </c>
      <c r="B76" s="377" t="s">
        <v>546</v>
      </c>
      <c r="C76" s="359" t="s">
        <v>203</v>
      </c>
      <c r="D76" s="896"/>
      <c r="E76" s="896"/>
      <c r="F76" s="911"/>
      <c r="G76" s="896"/>
      <c r="H76" s="896"/>
      <c r="I76" s="896"/>
      <c r="J76" s="911"/>
      <c r="K76" s="896"/>
      <c r="L76" s="896"/>
      <c r="M76" s="896"/>
      <c r="N76" s="911"/>
      <c r="O76" s="982"/>
      <c r="P76" s="896"/>
      <c r="Q76" s="896"/>
      <c r="R76" s="911"/>
      <c r="S76" s="982"/>
      <c r="T76" s="896"/>
      <c r="U76" s="896"/>
      <c r="V76" s="911"/>
      <c r="W76" s="982"/>
      <c r="X76" s="896"/>
      <c r="Y76" s="896"/>
      <c r="Z76" s="911"/>
    </row>
    <row r="77" spans="1:26" ht="12.75">
      <c r="A77" s="351" t="s">
        <v>547</v>
      </c>
      <c r="B77" s="377" t="s">
        <v>548</v>
      </c>
      <c r="C77" s="359" t="s">
        <v>1126</v>
      </c>
      <c r="D77" s="896"/>
      <c r="E77" s="896"/>
      <c r="F77" s="911"/>
      <c r="G77" s="896"/>
      <c r="H77" s="896"/>
      <c r="I77" s="896"/>
      <c r="J77" s="911"/>
      <c r="K77" s="896"/>
      <c r="L77" s="896"/>
      <c r="M77" s="896"/>
      <c r="N77" s="911"/>
      <c r="O77" s="982"/>
      <c r="P77" s="896"/>
      <c r="Q77" s="896"/>
      <c r="R77" s="911"/>
      <c r="S77" s="982"/>
      <c r="T77" s="896"/>
      <c r="U77" s="896"/>
      <c r="V77" s="911"/>
      <c r="W77" s="982"/>
      <c r="X77" s="896"/>
      <c r="Y77" s="896"/>
      <c r="Z77" s="911"/>
    </row>
    <row r="78" spans="1:26" ht="12.75">
      <c r="A78" s="351" t="s">
        <v>1182</v>
      </c>
      <c r="B78" s="377" t="s">
        <v>549</v>
      </c>
      <c r="C78" s="359" t="s">
        <v>838</v>
      </c>
      <c r="D78" s="896"/>
      <c r="E78" s="896"/>
      <c r="F78" s="911">
        <v>49126</v>
      </c>
      <c r="G78" s="896"/>
      <c r="H78" s="896"/>
      <c r="I78" s="896"/>
      <c r="J78" s="911">
        <v>49126</v>
      </c>
      <c r="K78" s="896"/>
      <c r="L78" s="896"/>
      <c r="M78" s="896"/>
      <c r="N78" s="911">
        <v>49126</v>
      </c>
      <c r="O78" s="982"/>
      <c r="P78" s="896"/>
      <c r="Q78" s="896"/>
      <c r="R78" s="911">
        <v>23032</v>
      </c>
      <c r="S78" s="982"/>
      <c r="T78" s="896"/>
      <c r="U78" s="896"/>
      <c r="V78" s="911">
        <v>15344</v>
      </c>
      <c r="W78" s="982"/>
      <c r="X78" s="896"/>
      <c r="Y78" s="896"/>
      <c r="Z78" s="911">
        <v>9729</v>
      </c>
    </row>
    <row r="79" spans="1:26" ht="12.75">
      <c r="A79" s="351" t="s">
        <v>1183</v>
      </c>
      <c r="B79" s="377" t="s">
        <v>550</v>
      </c>
      <c r="C79" s="359" t="s">
        <v>1088</v>
      </c>
      <c r="D79" s="896"/>
      <c r="E79" s="896"/>
      <c r="F79" s="911"/>
      <c r="G79" s="896"/>
      <c r="H79" s="896"/>
      <c r="I79" s="896"/>
      <c r="J79" s="911"/>
      <c r="K79" s="896"/>
      <c r="L79" s="896"/>
      <c r="M79" s="896"/>
      <c r="N79" s="911"/>
      <c r="O79" s="982"/>
      <c r="P79" s="896"/>
      <c r="Q79" s="896"/>
      <c r="R79" s="911"/>
      <c r="S79" s="982"/>
      <c r="T79" s="896"/>
      <c r="U79" s="896"/>
      <c r="V79" s="911"/>
      <c r="W79" s="982"/>
      <c r="X79" s="896"/>
      <c r="Y79" s="896"/>
      <c r="Z79" s="911"/>
    </row>
    <row r="80" spans="1:26" ht="12.75">
      <c r="A80" s="351" t="s">
        <v>231</v>
      </c>
      <c r="B80" s="377" t="s">
        <v>551</v>
      </c>
      <c r="C80" s="359" t="s">
        <v>1130</v>
      </c>
      <c r="D80" s="896"/>
      <c r="E80" s="896"/>
      <c r="F80" s="911"/>
      <c r="G80" s="896"/>
      <c r="H80" s="896"/>
      <c r="I80" s="896"/>
      <c r="J80" s="911"/>
      <c r="K80" s="896"/>
      <c r="L80" s="896"/>
      <c r="M80" s="896"/>
      <c r="N80" s="911"/>
      <c r="O80" s="982"/>
      <c r="P80" s="896"/>
      <c r="Q80" s="896"/>
      <c r="R80" s="911"/>
      <c r="S80" s="982"/>
      <c r="T80" s="896"/>
      <c r="U80" s="896"/>
      <c r="V80" s="911"/>
      <c r="W80" s="982"/>
      <c r="X80" s="896"/>
      <c r="Y80" s="896"/>
      <c r="Z80" s="911"/>
    </row>
    <row r="81" spans="1:26" ht="12.75">
      <c r="A81" s="351" t="s">
        <v>232</v>
      </c>
      <c r="B81" s="376" t="s">
        <v>773</v>
      </c>
      <c r="C81" s="358" t="s">
        <v>1132</v>
      </c>
      <c r="D81" s="896"/>
      <c r="E81" s="896"/>
      <c r="F81" s="911"/>
      <c r="G81" s="896"/>
      <c r="H81" s="896"/>
      <c r="I81" s="896"/>
      <c r="J81" s="911"/>
      <c r="K81" s="896"/>
      <c r="L81" s="896"/>
      <c r="M81" s="896"/>
      <c r="N81" s="911"/>
      <c r="O81" s="982"/>
      <c r="P81" s="896"/>
      <c r="Q81" s="896"/>
      <c r="R81" s="911"/>
      <c r="S81" s="982"/>
      <c r="T81" s="896"/>
      <c r="U81" s="896"/>
      <c r="V81" s="911"/>
      <c r="W81" s="982"/>
      <c r="X81" s="896"/>
      <c r="Y81" s="896"/>
      <c r="Z81" s="911"/>
    </row>
    <row r="82" spans="1:26" ht="12.75">
      <c r="A82" s="351" t="s">
        <v>1118</v>
      </c>
      <c r="B82" s="376" t="s">
        <v>774</v>
      </c>
      <c r="C82" s="358" t="s">
        <v>554</v>
      </c>
      <c r="D82" s="896"/>
      <c r="E82" s="896"/>
      <c r="F82" s="910">
        <f>+F83+F84</f>
        <v>0</v>
      </c>
      <c r="G82" s="896"/>
      <c r="H82" s="896"/>
      <c r="I82" s="896"/>
      <c r="J82" s="910">
        <f>+J83+J84</f>
        <v>0</v>
      </c>
      <c r="K82" s="896"/>
      <c r="L82" s="896"/>
      <c r="M82" s="896"/>
      <c r="N82" s="910">
        <f>+N83+N84</f>
        <v>0</v>
      </c>
      <c r="O82" s="982"/>
      <c r="P82" s="896"/>
      <c r="Q82" s="896"/>
      <c r="R82" s="910">
        <f>+R83+R84</f>
        <v>0</v>
      </c>
      <c r="S82" s="982"/>
      <c r="T82" s="896"/>
      <c r="U82" s="896"/>
      <c r="V82" s="910">
        <f>+V83+V84</f>
        <v>0</v>
      </c>
      <c r="W82" s="982"/>
      <c r="X82" s="896"/>
      <c r="Y82" s="896"/>
      <c r="Z82" s="910">
        <f>+Z83+Z84</f>
        <v>0</v>
      </c>
    </row>
    <row r="83" spans="1:26" ht="12.75">
      <c r="A83" s="351" t="s">
        <v>234</v>
      </c>
      <c r="B83" s="377" t="s">
        <v>556</v>
      </c>
      <c r="C83" s="359" t="s">
        <v>839</v>
      </c>
      <c r="D83" s="896"/>
      <c r="E83" s="896"/>
      <c r="F83" s="911"/>
      <c r="G83" s="896"/>
      <c r="H83" s="896"/>
      <c r="I83" s="896"/>
      <c r="J83" s="911"/>
      <c r="K83" s="896"/>
      <c r="L83" s="896"/>
      <c r="M83" s="896"/>
      <c r="N83" s="911"/>
      <c r="O83" s="982"/>
      <c r="P83" s="896"/>
      <c r="Q83" s="896"/>
      <c r="R83" s="911"/>
      <c r="S83" s="982"/>
      <c r="T83" s="896"/>
      <c r="U83" s="896"/>
      <c r="V83" s="911"/>
      <c r="W83" s="982"/>
      <c r="X83" s="896"/>
      <c r="Y83" s="896"/>
      <c r="Z83" s="911"/>
    </row>
    <row r="84" spans="1:26" ht="12.75">
      <c r="A84" s="351" t="s">
        <v>235</v>
      </c>
      <c r="B84" s="377" t="s">
        <v>558</v>
      </c>
      <c r="C84" s="359" t="s">
        <v>557</v>
      </c>
      <c r="D84" s="896"/>
      <c r="E84" s="896"/>
      <c r="F84" s="911"/>
      <c r="G84" s="896"/>
      <c r="H84" s="896"/>
      <c r="I84" s="896"/>
      <c r="J84" s="911"/>
      <c r="K84" s="896"/>
      <c r="L84" s="896"/>
      <c r="M84" s="896"/>
      <c r="N84" s="911"/>
      <c r="O84" s="982"/>
      <c r="P84" s="896"/>
      <c r="Q84" s="896"/>
      <c r="R84" s="911"/>
      <c r="S84" s="982"/>
      <c r="T84" s="896"/>
      <c r="U84" s="896"/>
      <c r="V84" s="911"/>
      <c r="W84" s="982"/>
      <c r="X84" s="896"/>
      <c r="Y84" s="896"/>
      <c r="Z84" s="911"/>
    </row>
    <row r="85" spans="1:26" ht="12.75">
      <c r="A85" s="351" t="s">
        <v>1119</v>
      </c>
      <c r="B85" s="376" t="s">
        <v>775</v>
      </c>
      <c r="C85" s="358" t="s">
        <v>205</v>
      </c>
      <c r="D85" s="896"/>
      <c r="E85" s="896"/>
      <c r="F85" s="910">
        <f>SUM(F86:F88)</f>
        <v>27669</v>
      </c>
      <c r="G85" s="896"/>
      <c r="H85" s="896"/>
      <c r="I85" s="896"/>
      <c r="J85" s="910">
        <f>SUM(J86:J88)</f>
        <v>17374</v>
      </c>
      <c r="K85" s="896"/>
      <c r="L85" s="896"/>
      <c r="M85" s="896"/>
      <c r="N85" s="910">
        <f>SUM(N86:N88)</f>
        <v>0</v>
      </c>
      <c r="O85" s="982"/>
      <c r="P85" s="896"/>
      <c r="Q85" s="896"/>
      <c r="R85" s="910">
        <f>SUM(R86:R87)</f>
        <v>0</v>
      </c>
      <c r="S85" s="982"/>
      <c r="T85" s="896"/>
      <c r="U85" s="896"/>
      <c r="V85" s="910">
        <f>SUM(V86:V87)</f>
        <v>0</v>
      </c>
      <c r="W85" s="982"/>
      <c r="X85" s="896"/>
      <c r="Y85" s="896"/>
      <c r="Z85" s="910">
        <f>SUM(Z86:Z87)</f>
        <v>476</v>
      </c>
    </row>
    <row r="86" spans="1:26" ht="12.75">
      <c r="A86" s="351" t="s">
        <v>199</v>
      </c>
      <c r="B86" s="377" t="s">
        <v>560</v>
      </c>
      <c r="C86" s="359" t="s">
        <v>206</v>
      </c>
      <c r="D86" s="896"/>
      <c r="E86" s="896"/>
      <c r="F86" s="911"/>
      <c r="G86" s="896"/>
      <c r="H86" s="896"/>
      <c r="I86" s="896"/>
      <c r="J86" s="911"/>
      <c r="K86" s="896"/>
      <c r="L86" s="896"/>
      <c r="M86" s="896"/>
      <c r="N86" s="911"/>
      <c r="O86" s="982"/>
      <c r="P86" s="896"/>
      <c r="Q86" s="896"/>
      <c r="R86" s="911"/>
      <c r="S86" s="982"/>
      <c r="T86" s="896"/>
      <c r="U86" s="896"/>
      <c r="V86" s="911"/>
      <c r="W86" s="982"/>
      <c r="X86" s="896"/>
      <c r="Y86" s="896"/>
      <c r="Z86" s="911"/>
    </row>
    <row r="87" spans="1:26" ht="12.75">
      <c r="A87" s="351" t="s">
        <v>561</v>
      </c>
      <c r="B87" s="377" t="s">
        <v>562</v>
      </c>
      <c r="C87" s="359" t="s">
        <v>1085</v>
      </c>
      <c r="D87" s="896"/>
      <c r="E87" s="896"/>
      <c r="F87" s="911">
        <v>692</v>
      </c>
      <c r="G87" s="896"/>
      <c r="H87" s="896"/>
      <c r="I87" s="896"/>
      <c r="J87" s="911"/>
      <c r="K87" s="896"/>
      <c r="L87" s="896"/>
      <c r="M87" s="896"/>
      <c r="N87" s="911"/>
      <c r="O87" s="982"/>
      <c r="P87" s="896"/>
      <c r="Q87" s="896"/>
      <c r="R87" s="911"/>
      <c r="S87" s="982"/>
      <c r="T87" s="896"/>
      <c r="U87" s="896"/>
      <c r="V87" s="911"/>
      <c r="W87" s="982"/>
      <c r="X87" s="896"/>
      <c r="Y87" s="896"/>
      <c r="Z87" s="911">
        <v>476</v>
      </c>
    </row>
    <row r="88" spans="1:26" ht="12.75">
      <c r="A88" s="351" t="s">
        <v>1300</v>
      </c>
      <c r="B88" s="376" t="s">
        <v>776</v>
      </c>
      <c r="C88" s="358" t="s">
        <v>207</v>
      </c>
      <c r="D88" s="896"/>
      <c r="E88" s="896"/>
      <c r="F88" s="911">
        <v>26977</v>
      </c>
      <c r="G88" s="896"/>
      <c r="H88" s="896"/>
      <c r="I88" s="896"/>
      <c r="J88" s="911">
        <v>17374</v>
      </c>
      <c r="K88" s="896"/>
      <c r="L88" s="896"/>
      <c r="M88" s="896"/>
      <c r="N88" s="911"/>
      <c r="O88" s="982"/>
      <c r="P88" s="896"/>
      <c r="Q88" s="896"/>
      <c r="R88" s="911"/>
      <c r="S88" s="982"/>
      <c r="T88" s="896"/>
      <c r="U88" s="896"/>
      <c r="V88" s="911"/>
      <c r="W88" s="982"/>
      <c r="X88" s="896"/>
      <c r="Y88" s="896"/>
      <c r="Z88" s="911"/>
    </row>
    <row r="89" spans="1:26" ht="12.75">
      <c r="A89" s="351"/>
      <c r="B89" s="376" t="s">
        <v>563</v>
      </c>
      <c r="C89" s="358" t="s">
        <v>208</v>
      </c>
      <c r="D89" s="896"/>
      <c r="E89" s="896"/>
      <c r="F89" s="910">
        <f>SUM(F90:F93)</f>
        <v>0</v>
      </c>
      <c r="G89" s="896"/>
      <c r="H89" s="896"/>
      <c r="I89" s="896"/>
      <c r="J89" s="910">
        <f>SUM(J90:J93)</f>
        <v>0</v>
      </c>
      <c r="K89" s="896"/>
      <c r="L89" s="896"/>
      <c r="M89" s="896"/>
      <c r="N89" s="910">
        <f>SUM(N90:N93)</f>
        <v>0</v>
      </c>
      <c r="O89" s="982"/>
      <c r="P89" s="896"/>
      <c r="Q89" s="896"/>
      <c r="R89" s="910">
        <f>SUM(R90:R93)</f>
        <v>0</v>
      </c>
      <c r="S89" s="982"/>
      <c r="T89" s="896"/>
      <c r="U89" s="896"/>
      <c r="V89" s="910">
        <f>SUM(V90:V93)</f>
        <v>0</v>
      </c>
      <c r="W89" s="982"/>
      <c r="X89" s="896"/>
      <c r="Y89" s="896"/>
      <c r="Z89" s="910">
        <f>SUM(Z90:Z93)</f>
        <v>0</v>
      </c>
    </row>
    <row r="90" spans="1:89" ht="12.75">
      <c r="A90" s="351" t="s">
        <v>564</v>
      </c>
      <c r="B90" s="377" t="s">
        <v>777</v>
      </c>
      <c r="C90" s="359" t="s">
        <v>209</v>
      </c>
      <c r="D90" s="896"/>
      <c r="E90" s="896"/>
      <c r="F90" s="911"/>
      <c r="G90" s="896"/>
      <c r="H90" s="896"/>
      <c r="I90" s="896"/>
      <c r="J90" s="911"/>
      <c r="K90" s="896"/>
      <c r="L90" s="896"/>
      <c r="M90" s="896"/>
      <c r="N90" s="911"/>
      <c r="O90" s="982"/>
      <c r="P90" s="896"/>
      <c r="Q90" s="896"/>
      <c r="R90" s="911"/>
      <c r="S90" s="982"/>
      <c r="T90" s="896"/>
      <c r="U90" s="896"/>
      <c r="V90" s="911"/>
      <c r="W90" s="982"/>
      <c r="X90" s="896"/>
      <c r="Y90" s="896"/>
      <c r="Z90" s="911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</row>
    <row r="91" spans="1:26" ht="12.75">
      <c r="A91" s="351" t="s">
        <v>566</v>
      </c>
      <c r="B91" s="377" t="s">
        <v>778</v>
      </c>
      <c r="C91" s="359" t="s">
        <v>567</v>
      </c>
      <c r="D91" s="896"/>
      <c r="E91" s="896"/>
      <c r="F91" s="911"/>
      <c r="G91" s="896"/>
      <c r="H91" s="896"/>
      <c r="I91" s="896"/>
      <c r="J91" s="911"/>
      <c r="K91" s="896"/>
      <c r="L91" s="896"/>
      <c r="M91" s="896"/>
      <c r="N91" s="911"/>
      <c r="O91" s="982"/>
      <c r="P91" s="896"/>
      <c r="Q91" s="896"/>
      <c r="R91" s="911"/>
      <c r="S91" s="982"/>
      <c r="T91" s="896"/>
      <c r="U91" s="896"/>
      <c r="V91" s="911"/>
      <c r="W91" s="982"/>
      <c r="X91" s="896"/>
      <c r="Y91" s="896"/>
      <c r="Z91" s="911"/>
    </row>
    <row r="92" spans="1:26" ht="12.75">
      <c r="A92" s="351" t="s">
        <v>779</v>
      </c>
      <c r="B92" s="377" t="s">
        <v>780</v>
      </c>
      <c r="C92" s="359" t="s">
        <v>1086</v>
      </c>
      <c r="D92" s="896"/>
      <c r="E92" s="896"/>
      <c r="F92" s="911"/>
      <c r="G92" s="896"/>
      <c r="H92" s="896"/>
      <c r="I92" s="896"/>
      <c r="J92" s="911"/>
      <c r="K92" s="896"/>
      <c r="L92" s="896"/>
      <c r="M92" s="896"/>
      <c r="N92" s="911"/>
      <c r="O92" s="982"/>
      <c r="P92" s="896"/>
      <c r="Q92" s="896"/>
      <c r="R92" s="911"/>
      <c r="S92" s="982"/>
      <c r="T92" s="896"/>
      <c r="U92" s="896"/>
      <c r="V92" s="911"/>
      <c r="W92" s="982"/>
      <c r="X92" s="896"/>
      <c r="Y92" s="896"/>
      <c r="Z92" s="911"/>
    </row>
    <row r="93" spans="1:26" ht="12.75">
      <c r="A93" s="351" t="s">
        <v>569</v>
      </c>
      <c r="B93" s="377" t="s">
        <v>781</v>
      </c>
      <c r="C93" s="359" t="s">
        <v>210</v>
      </c>
      <c r="D93" s="896"/>
      <c r="E93" s="896"/>
      <c r="F93" s="911"/>
      <c r="G93" s="896"/>
      <c r="H93" s="896"/>
      <c r="I93" s="896"/>
      <c r="J93" s="911"/>
      <c r="K93" s="896"/>
      <c r="L93" s="896"/>
      <c r="M93" s="896"/>
      <c r="N93" s="911"/>
      <c r="O93" s="982"/>
      <c r="P93" s="896"/>
      <c r="Q93" s="896"/>
      <c r="R93" s="911"/>
      <c r="S93" s="982"/>
      <c r="T93" s="896"/>
      <c r="U93" s="896"/>
      <c r="V93" s="911"/>
      <c r="W93" s="982"/>
      <c r="X93" s="896"/>
      <c r="Y93" s="896"/>
      <c r="Z93" s="911"/>
    </row>
    <row r="94" spans="1:26" ht="12.75">
      <c r="A94" s="351"/>
      <c r="B94" s="376" t="s">
        <v>571</v>
      </c>
      <c r="C94" s="358" t="s">
        <v>1087</v>
      </c>
      <c r="D94" s="896"/>
      <c r="E94" s="896"/>
      <c r="F94" s="910">
        <f>+F95+F101</f>
        <v>17790</v>
      </c>
      <c r="G94" s="896"/>
      <c r="H94" s="896"/>
      <c r="I94" s="896"/>
      <c r="J94" s="910">
        <f>+J95+J101</f>
        <v>7384</v>
      </c>
      <c r="K94" s="896"/>
      <c r="L94" s="896"/>
      <c r="M94" s="896"/>
      <c r="N94" s="910">
        <f>+N95+N101</f>
        <v>4964</v>
      </c>
      <c r="O94" s="982"/>
      <c r="P94" s="896"/>
      <c r="Q94" s="896"/>
      <c r="R94" s="910">
        <f>+R95+R101</f>
        <v>3423</v>
      </c>
      <c r="S94" s="982"/>
      <c r="T94" s="896"/>
      <c r="U94" s="896"/>
      <c r="V94" s="910">
        <f>+V95+V101</f>
        <v>1766</v>
      </c>
      <c r="W94" s="982"/>
      <c r="X94" s="896"/>
      <c r="Y94" s="896"/>
      <c r="Z94" s="910">
        <f>+Z95+Z101</f>
        <v>1002</v>
      </c>
    </row>
    <row r="95" spans="1:26" ht="12.75">
      <c r="A95" s="351"/>
      <c r="B95" s="376" t="s">
        <v>572</v>
      </c>
      <c r="C95" s="358" t="s">
        <v>840</v>
      </c>
      <c r="D95" s="896"/>
      <c r="E95" s="896"/>
      <c r="F95" s="910">
        <f>SUM(F96:F100)</f>
        <v>4480</v>
      </c>
      <c r="G95" s="896"/>
      <c r="H95" s="896"/>
      <c r="I95" s="896"/>
      <c r="J95" s="910">
        <f>SUM(J96:J100)</f>
        <v>0</v>
      </c>
      <c r="K95" s="896"/>
      <c r="L95" s="896"/>
      <c r="M95" s="896"/>
      <c r="N95" s="910">
        <f>SUM(N96:N100)</f>
        <v>0</v>
      </c>
      <c r="O95" s="982"/>
      <c r="P95" s="896"/>
      <c r="Q95" s="896"/>
      <c r="R95" s="910">
        <f>SUM(R96:R100)</f>
        <v>0</v>
      </c>
      <c r="S95" s="982"/>
      <c r="T95" s="896"/>
      <c r="U95" s="896"/>
      <c r="V95" s="910">
        <f>SUM(V96:V100)</f>
        <v>0</v>
      </c>
      <c r="W95" s="982"/>
      <c r="X95" s="896"/>
      <c r="Y95" s="896"/>
      <c r="Z95" s="910">
        <f>SUM(Z96:Z100)</f>
        <v>0</v>
      </c>
    </row>
    <row r="96" spans="1:26" ht="12.75">
      <c r="A96" s="351" t="s">
        <v>573</v>
      </c>
      <c r="B96" s="377" t="s">
        <v>574</v>
      </c>
      <c r="C96" s="359" t="s">
        <v>575</v>
      </c>
      <c r="D96" s="896"/>
      <c r="E96" s="896"/>
      <c r="F96" s="911"/>
      <c r="G96" s="896"/>
      <c r="H96" s="896"/>
      <c r="I96" s="896"/>
      <c r="J96" s="911"/>
      <c r="K96" s="896"/>
      <c r="L96" s="896"/>
      <c r="M96" s="896"/>
      <c r="N96" s="911"/>
      <c r="O96" s="982"/>
      <c r="P96" s="896"/>
      <c r="Q96" s="896"/>
      <c r="R96" s="911"/>
      <c r="S96" s="982"/>
      <c r="T96" s="896"/>
      <c r="U96" s="896"/>
      <c r="V96" s="911"/>
      <c r="W96" s="982"/>
      <c r="X96" s="896"/>
      <c r="Y96" s="896"/>
      <c r="Z96" s="911"/>
    </row>
    <row r="97" spans="1:26" ht="12.75">
      <c r="A97" s="351" t="s">
        <v>576</v>
      </c>
      <c r="B97" s="377" t="s">
        <v>577</v>
      </c>
      <c r="C97" s="359" t="s">
        <v>578</v>
      </c>
      <c r="D97" s="896"/>
      <c r="E97" s="896"/>
      <c r="F97" s="911"/>
      <c r="G97" s="896"/>
      <c r="H97" s="896"/>
      <c r="I97" s="896"/>
      <c r="J97" s="911"/>
      <c r="K97" s="896"/>
      <c r="L97" s="896"/>
      <c r="M97" s="896"/>
      <c r="N97" s="911"/>
      <c r="O97" s="982"/>
      <c r="P97" s="896"/>
      <c r="Q97" s="896"/>
      <c r="R97" s="911"/>
      <c r="S97" s="982"/>
      <c r="T97" s="896"/>
      <c r="U97" s="896"/>
      <c r="V97" s="911"/>
      <c r="W97" s="982"/>
      <c r="X97" s="896"/>
      <c r="Y97" s="896"/>
      <c r="Z97" s="911"/>
    </row>
    <row r="98" spans="1:26" ht="12.75">
      <c r="A98" s="351" t="s">
        <v>579</v>
      </c>
      <c r="B98" s="377" t="s">
        <v>580</v>
      </c>
      <c r="C98" s="359" t="s">
        <v>581</v>
      </c>
      <c r="D98" s="896"/>
      <c r="E98" s="896"/>
      <c r="F98" s="911"/>
      <c r="G98" s="896"/>
      <c r="H98" s="896"/>
      <c r="I98" s="896"/>
      <c r="J98" s="911"/>
      <c r="K98" s="896"/>
      <c r="L98" s="896"/>
      <c r="M98" s="896"/>
      <c r="N98" s="911"/>
      <c r="O98" s="982"/>
      <c r="P98" s="896"/>
      <c r="Q98" s="896"/>
      <c r="R98" s="911"/>
      <c r="S98" s="982"/>
      <c r="T98" s="896"/>
      <c r="U98" s="896"/>
      <c r="V98" s="911"/>
      <c r="W98" s="982"/>
      <c r="X98" s="896"/>
      <c r="Y98" s="896"/>
      <c r="Z98" s="911"/>
    </row>
    <row r="99" spans="1:26" ht="12.75">
      <c r="A99" s="351" t="s">
        <v>582</v>
      </c>
      <c r="B99" s="377" t="s">
        <v>583</v>
      </c>
      <c r="C99" s="359" t="s">
        <v>584</v>
      </c>
      <c r="D99" s="896"/>
      <c r="E99" s="896"/>
      <c r="F99" s="911">
        <v>4480</v>
      </c>
      <c r="G99" s="896"/>
      <c r="H99" s="896"/>
      <c r="I99" s="896"/>
      <c r="J99" s="911"/>
      <c r="K99" s="896"/>
      <c r="L99" s="896"/>
      <c r="M99" s="896"/>
      <c r="N99" s="911"/>
      <c r="O99" s="982"/>
      <c r="P99" s="896"/>
      <c r="Q99" s="896"/>
      <c r="R99" s="911"/>
      <c r="S99" s="982"/>
      <c r="T99" s="896"/>
      <c r="U99" s="896"/>
      <c r="V99" s="911"/>
      <c r="W99" s="982"/>
      <c r="X99" s="896"/>
      <c r="Y99" s="896"/>
      <c r="Z99" s="911"/>
    </row>
    <row r="100" spans="1:26" ht="12.75">
      <c r="A100" s="351" t="s">
        <v>157</v>
      </c>
      <c r="B100" s="377" t="s">
        <v>585</v>
      </c>
      <c r="C100" s="359" t="s">
        <v>586</v>
      </c>
      <c r="D100" s="896"/>
      <c r="E100" s="896"/>
      <c r="F100" s="911"/>
      <c r="G100" s="896"/>
      <c r="H100" s="896"/>
      <c r="I100" s="896"/>
      <c r="J100" s="911"/>
      <c r="K100" s="896"/>
      <c r="L100" s="896"/>
      <c r="M100" s="896"/>
      <c r="N100" s="911"/>
      <c r="O100" s="982"/>
      <c r="P100" s="896"/>
      <c r="Q100" s="896"/>
      <c r="R100" s="911"/>
      <c r="S100" s="982"/>
      <c r="T100" s="896"/>
      <c r="U100" s="896"/>
      <c r="V100" s="911"/>
      <c r="W100" s="982"/>
      <c r="X100" s="896"/>
      <c r="Y100" s="896"/>
      <c r="Z100" s="911"/>
    </row>
    <row r="101" spans="1:26" ht="12.75">
      <c r="A101" s="351"/>
      <c r="B101" s="376" t="s">
        <v>587</v>
      </c>
      <c r="C101" s="358" t="s">
        <v>588</v>
      </c>
      <c r="D101" s="896"/>
      <c r="E101" s="896"/>
      <c r="F101" s="910">
        <f>SUM(F102:F112)</f>
        <v>13310</v>
      </c>
      <c r="G101" s="896"/>
      <c r="H101" s="896"/>
      <c r="I101" s="896"/>
      <c r="J101" s="910">
        <f>SUM(J102:J112)</f>
        <v>7384</v>
      </c>
      <c r="K101" s="896"/>
      <c r="L101" s="896"/>
      <c r="M101" s="896"/>
      <c r="N101" s="910">
        <f>SUM(N102:N112)</f>
        <v>4964</v>
      </c>
      <c r="O101" s="982"/>
      <c r="P101" s="896"/>
      <c r="Q101" s="896"/>
      <c r="R101" s="910">
        <f>SUM(R102:R112)</f>
        <v>3423</v>
      </c>
      <c r="S101" s="982"/>
      <c r="T101" s="896"/>
      <c r="U101" s="896"/>
      <c r="V101" s="910">
        <f>SUM(V102:V112)</f>
        <v>1766</v>
      </c>
      <c r="W101" s="982"/>
      <c r="X101" s="896"/>
      <c r="Y101" s="896"/>
      <c r="Z101" s="910">
        <f>SUM(Z102:Z112)</f>
        <v>1002</v>
      </c>
    </row>
    <row r="102" spans="1:26" ht="12.75">
      <c r="A102" s="351" t="s">
        <v>589</v>
      </c>
      <c r="B102" s="354" t="s">
        <v>590</v>
      </c>
      <c r="C102" s="359" t="s">
        <v>591</v>
      </c>
      <c r="D102" s="896"/>
      <c r="E102" s="896"/>
      <c r="F102" s="911"/>
      <c r="G102" s="896"/>
      <c r="H102" s="896"/>
      <c r="I102" s="896"/>
      <c r="J102" s="911"/>
      <c r="K102" s="896"/>
      <c r="L102" s="896"/>
      <c r="M102" s="896"/>
      <c r="N102" s="911"/>
      <c r="O102" s="982"/>
      <c r="P102" s="896"/>
      <c r="Q102" s="896"/>
      <c r="R102" s="911"/>
      <c r="S102" s="982"/>
      <c r="T102" s="896"/>
      <c r="U102" s="896"/>
      <c r="V102" s="911"/>
      <c r="W102" s="982"/>
      <c r="X102" s="896"/>
      <c r="Y102" s="896"/>
      <c r="Z102" s="911"/>
    </row>
    <row r="103" spans="1:26" ht="12.75">
      <c r="A103" s="351" t="s">
        <v>592</v>
      </c>
      <c r="B103" s="377" t="s">
        <v>891</v>
      </c>
      <c r="C103" s="359" t="s">
        <v>892</v>
      </c>
      <c r="D103" s="896"/>
      <c r="E103" s="896"/>
      <c r="F103" s="911"/>
      <c r="G103" s="896"/>
      <c r="H103" s="896"/>
      <c r="I103" s="896"/>
      <c r="J103" s="911"/>
      <c r="K103" s="896"/>
      <c r="L103" s="896"/>
      <c r="M103" s="896"/>
      <c r="N103" s="911"/>
      <c r="O103" s="982"/>
      <c r="P103" s="896"/>
      <c r="Q103" s="896"/>
      <c r="R103" s="911"/>
      <c r="S103" s="982"/>
      <c r="T103" s="896"/>
      <c r="U103" s="896"/>
      <c r="V103" s="911"/>
      <c r="W103" s="982"/>
      <c r="X103" s="896"/>
      <c r="Y103" s="896"/>
      <c r="Z103" s="911"/>
    </row>
    <row r="104" spans="1:26" ht="12.75">
      <c r="A104" s="351" t="s">
        <v>893</v>
      </c>
      <c r="B104" s="377" t="s">
        <v>894</v>
      </c>
      <c r="C104" s="359" t="s">
        <v>895</v>
      </c>
      <c r="D104" s="896"/>
      <c r="E104" s="896"/>
      <c r="F104" s="911"/>
      <c r="G104" s="896"/>
      <c r="H104" s="896"/>
      <c r="I104" s="896"/>
      <c r="J104" s="911"/>
      <c r="K104" s="896"/>
      <c r="L104" s="896"/>
      <c r="M104" s="896"/>
      <c r="N104" s="911"/>
      <c r="O104" s="982"/>
      <c r="P104" s="896"/>
      <c r="Q104" s="896"/>
      <c r="R104" s="911"/>
      <c r="S104" s="982"/>
      <c r="T104" s="896"/>
      <c r="U104" s="896"/>
      <c r="V104" s="911"/>
      <c r="W104" s="982"/>
      <c r="X104" s="896"/>
      <c r="Y104" s="896"/>
      <c r="Z104" s="911"/>
    </row>
    <row r="105" spans="1:26" ht="12.75">
      <c r="A105" s="351" t="s">
        <v>158</v>
      </c>
      <c r="B105" s="377" t="s">
        <v>896</v>
      </c>
      <c r="C105" s="359" t="s">
        <v>897</v>
      </c>
      <c r="D105" s="896"/>
      <c r="E105" s="896"/>
      <c r="F105" s="911">
        <v>58</v>
      </c>
      <c r="G105" s="896"/>
      <c r="H105" s="896"/>
      <c r="I105" s="896"/>
      <c r="J105" s="911">
        <v>163</v>
      </c>
      <c r="K105" s="896"/>
      <c r="L105" s="896"/>
      <c r="M105" s="896"/>
      <c r="N105" s="911">
        <v>582</v>
      </c>
      <c r="O105" s="982"/>
      <c r="P105" s="896"/>
      <c r="Q105" s="896"/>
      <c r="R105" s="911">
        <v>650</v>
      </c>
      <c r="S105" s="982"/>
      <c r="T105" s="896"/>
      <c r="U105" s="896"/>
      <c r="V105" s="911">
        <v>21</v>
      </c>
      <c r="W105" s="982"/>
      <c r="X105" s="896"/>
      <c r="Y105" s="896"/>
      <c r="Z105" s="911">
        <v>43</v>
      </c>
    </row>
    <row r="106" spans="1:26" ht="12.75">
      <c r="A106" s="351" t="s">
        <v>159</v>
      </c>
      <c r="B106" s="377" t="s">
        <v>898</v>
      </c>
      <c r="C106" s="359" t="s">
        <v>164</v>
      </c>
      <c r="D106" s="896"/>
      <c r="E106" s="896"/>
      <c r="F106" s="911"/>
      <c r="G106" s="896"/>
      <c r="H106" s="896"/>
      <c r="I106" s="896"/>
      <c r="J106" s="911"/>
      <c r="K106" s="896"/>
      <c r="L106" s="896"/>
      <c r="M106" s="896"/>
      <c r="N106" s="911"/>
      <c r="O106" s="982"/>
      <c r="P106" s="896"/>
      <c r="Q106" s="896"/>
      <c r="R106" s="911"/>
      <c r="S106" s="982"/>
      <c r="T106" s="896"/>
      <c r="U106" s="896"/>
      <c r="V106" s="911"/>
      <c r="W106" s="982"/>
      <c r="X106" s="896"/>
      <c r="Y106" s="896"/>
      <c r="Z106" s="911"/>
    </row>
    <row r="107" spans="1:26" ht="12.75">
      <c r="A107" s="351" t="s">
        <v>899</v>
      </c>
      <c r="B107" s="377" t="s">
        <v>900</v>
      </c>
      <c r="C107" s="359" t="s">
        <v>1129</v>
      </c>
      <c r="D107" s="896"/>
      <c r="E107" s="896"/>
      <c r="F107" s="911">
        <v>9762</v>
      </c>
      <c r="G107" s="896"/>
      <c r="H107" s="896"/>
      <c r="I107" s="896"/>
      <c r="J107" s="911">
        <v>5706</v>
      </c>
      <c r="K107" s="896"/>
      <c r="L107" s="896"/>
      <c r="M107" s="896"/>
      <c r="N107" s="911">
        <v>3255</v>
      </c>
      <c r="O107" s="982"/>
      <c r="P107" s="896"/>
      <c r="Q107" s="896"/>
      <c r="R107" s="911">
        <v>2115</v>
      </c>
      <c r="S107" s="982"/>
      <c r="T107" s="896"/>
      <c r="U107" s="896"/>
      <c r="V107" s="911">
        <v>1201</v>
      </c>
      <c r="W107" s="982"/>
      <c r="X107" s="896"/>
      <c r="Y107" s="896"/>
      <c r="Z107" s="911">
        <v>542</v>
      </c>
    </row>
    <row r="108" spans="1:26" ht="12.75">
      <c r="A108" s="351" t="s">
        <v>901</v>
      </c>
      <c r="B108" s="354" t="s">
        <v>902</v>
      </c>
      <c r="C108" s="359" t="s">
        <v>1127</v>
      </c>
      <c r="D108" s="896"/>
      <c r="E108" s="896"/>
      <c r="F108" s="911"/>
      <c r="G108" s="896"/>
      <c r="H108" s="896"/>
      <c r="I108" s="896"/>
      <c r="J108" s="911"/>
      <c r="K108" s="896"/>
      <c r="L108" s="896"/>
      <c r="M108" s="896"/>
      <c r="N108" s="911"/>
      <c r="O108" s="982"/>
      <c r="P108" s="896"/>
      <c r="Q108" s="896"/>
      <c r="R108" s="911"/>
      <c r="S108" s="982"/>
      <c r="T108" s="896"/>
      <c r="U108" s="896"/>
      <c r="V108" s="911"/>
      <c r="W108" s="982"/>
      <c r="X108" s="896"/>
      <c r="Y108" s="896"/>
      <c r="Z108" s="911"/>
    </row>
    <row r="109" spans="1:26" ht="12.75">
      <c r="A109" s="351" t="s">
        <v>1120</v>
      </c>
      <c r="B109" s="377" t="s">
        <v>903</v>
      </c>
      <c r="C109" s="359" t="s">
        <v>1131</v>
      </c>
      <c r="D109" s="896"/>
      <c r="E109" s="896"/>
      <c r="F109" s="911"/>
      <c r="G109" s="896"/>
      <c r="H109" s="896"/>
      <c r="I109" s="896"/>
      <c r="J109" s="911"/>
      <c r="K109" s="896"/>
      <c r="L109" s="896"/>
      <c r="M109" s="896"/>
      <c r="N109" s="911"/>
      <c r="O109" s="982"/>
      <c r="P109" s="896"/>
      <c r="Q109" s="896"/>
      <c r="R109" s="911"/>
      <c r="S109" s="982"/>
      <c r="T109" s="896"/>
      <c r="U109" s="896"/>
      <c r="V109" s="911"/>
      <c r="W109" s="982"/>
      <c r="X109" s="896"/>
      <c r="Y109" s="896"/>
      <c r="Z109" s="911"/>
    </row>
    <row r="110" spans="1:26" ht="12.75">
      <c r="A110" s="351" t="s">
        <v>1121</v>
      </c>
      <c r="B110" s="377" t="s">
        <v>904</v>
      </c>
      <c r="C110" s="359" t="s">
        <v>1092</v>
      </c>
      <c r="D110" s="896"/>
      <c r="E110" s="896"/>
      <c r="F110" s="911">
        <v>1891</v>
      </c>
      <c r="G110" s="896"/>
      <c r="H110" s="896"/>
      <c r="I110" s="896"/>
      <c r="J110" s="911">
        <v>715</v>
      </c>
      <c r="K110" s="896"/>
      <c r="L110" s="896"/>
      <c r="M110" s="896"/>
      <c r="N110" s="911">
        <v>413</v>
      </c>
      <c r="O110" s="982"/>
      <c r="P110" s="896"/>
      <c r="Q110" s="896"/>
      <c r="R110" s="911">
        <v>232</v>
      </c>
      <c r="S110" s="982"/>
      <c r="T110" s="896"/>
      <c r="U110" s="896"/>
      <c r="V110" s="911">
        <v>232</v>
      </c>
      <c r="W110" s="982"/>
      <c r="X110" s="896"/>
      <c r="Y110" s="896"/>
      <c r="Z110" s="911">
        <v>171</v>
      </c>
    </row>
    <row r="111" spans="1:26" ht="12.75">
      <c r="A111" s="351" t="s">
        <v>1122</v>
      </c>
      <c r="B111" s="377" t="s">
        <v>905</v>
      </c>
      <c r="C111" s="359" t="s">
        <v>1134</v>
      </c>
      <c r="D111" s="896"/>
      <c r="E111" s="896"/>
      <c r="F111" s="911">
        <v>1531</v>
      </c>
      <c r="G111" s="896"/>
      <c r="H111" s="896"/>
      <c r="I111" s="896"/>
      <c r="J111" s="911">
        <v>751</v>
      </c>
      <c r="K111" s="896"/>
      <c r="L111" s="896"/>
      <c r="M111" s="896"/>
      <c r="N111" s="911">
        <v>628</v>
      </c>
      <c r="O111" s="982"/>
      <c r="P111" s="896"/>
      <c r="Q111" s="896"/>
      <c r="R111" s="911">
        <v>372</v>
      </c>
      <c r="S111" s="982"/>
      <c r="T111" s="896"/>
      <c r="U111" s="896"/>
      <c r="V111" s="911">
        <v>283</v>
      </c>
      <c r="W111" s="982"/>
      <c r="X111" s="896"/>
      <c r="Y111" s="896"/>
      <c r="Z111" s="911">
        <v>223</v>
      </c>
    </row>
    <row r="112" spans="1:26" ht="12.75">
      <c r="A112" s="351" t="s">
        <v>1123</v>
      </c>
      <c r="B112" s="377" t="s">
        <v>906</v>
      </c>
      <c r="C112" s="359" t="s">
        <v>212</v>
      </c>
      <c r="D112" s="896"/>
      <c r="E112" s="896"/>
      <c r="F112" s="911">
        <v>68</v>
      </c>
      <c r="G112" s="896"/>
      <c r="H112" s="896"/>
      <c r="I112" s="896"/>
      <c r="J112" s="911">
        <v>49</v>
      </c>
      <c r="K112" s="896"/>
      <c r="L112" s="896"/>
      <c r="M112" s="896"/>
      <c r="N112" s="911">
        <v>86</v>
      </c>
      <c r="O112" s="982"/>
      <c r="P112" s="896"/>
      <c r="Q112" s="896"/>
      <c r="R112" s="911">
        <v>54</v>
      </c>
      <c r="S112" s="982"/>
      <c r="T112" s="896"/>
      <c r="U112" s="896"/>
      <c r="V112" s="911">
        <v>29</v>
      </c>
      <c r="W112" s="982"/>
      <c r="X112" s="896"/>
      <c r="Y112" s="896"/>
      <c r="Z112" s="911">
        <v>23</v>
      </c>
    </row>
    <row r="113" spans="1:26" ht="12.75">
      <c r="A113" s="351" t="s">
        <v>1124</v>
      </c>
      <c r="B113" s="377" t="s">
        <v>907</v>
      </c>
      <c r="C113" s="359" t="s">
        <v>1135</v>
      </c>
      <c r="D113" s="896"/>
      <c r="E113" s="896"/>
      <c r="F113" s="911"/>
      <c r="G113" s="896"/>
      <c r="H113" s="896"/>
      <c r="I113" s="896"/>
      <c r="J113" s="911">
        <v>98</v>
      </c>
      <c r="K113" s="896"/>
      <c r="L113" s="896"/>
      <c r="M113" s="896"/>
      <c r="N113" s="911"/>
      <c r="O113" s="982"/>
      <c r="P113" s="896"/>
      <c r="Q113" s="896"/>
      <c r="R113" s="911"/>
      <c r="S113" s="982"/>
      <c r="T113" s="896"/>
      <c r="U113" s="896"/>
      <c r="V113" s="911"/>
      <c r="W113" s="982"/>
      <c r="X113" s="896"/>
      <c r="Y113" s="896"/>
      <c r="Z113" s="911"/>
    </row>
    <row r="114" spans="1:26" ht="12.75">
      <c r="A114" s="351" t="s">
        <v>782</v>
      </c>
      <c r="B114" s="377" t="s">
        <v>783</v>
      </c>
      <c r="C114" s="359" t="s">
        <v>211</v>
      </c>
      <c r="D114" s="896"/>
      <c r="E114" s="896"/>
      <c r="F114" s="911"/>
      <c r="G114" s="896"/>
      <c r="H114" s="896"/>
      <c r="I114" s="896"/>
      <c r="J114" s="911"/>
      <c r="K114" s="896"/>
      <c r="L114" s="896"/>
      <c r="M114" s="896"/>
      <c r="N114" s="911"/>
      <c r="O114" s="982"/>
      <c r="P114" s="896"/>
      <c r="Q114" s="896"/>
      <c r="R114" s="911"/>
      <c r="S114" s="982"/>
      <c r="T114" s="896"/>
      <c r="U114" s="896"/>
      <c r="V114" s="911"/>
      <c r="W114" s="982"/>
      <c r="X114" s="896"/>
      <c r="Y114" s="896"/>
      <c r="Z114" s="911"/>
    </row>
    <row r="115" spans="1:26" ht="25.5">
      <c r="A115" s="912" t="s">
        <v>784</v>
      </c>
      <c r="B115" s="354" t="s">
        <v>785</v>
      </c>
      <c r="C115" s="359" t="s">
        <v>213</v>
      </c>
      <c r="D115" s="896"/>
      <c r="E115" s="896"/>
      <c r="F115" s="911"/>
      <c r="G115" s="896"/>
      <c r="H115" s="896"/>
      <c r="I115" s="896"/>
      <c r="J115" s="911"/>
      <c r="K115" s="896"/>
      <c r="L115" s="896"/>
      <c r="M115" s="896"/>
      <c r="N115" s="911"/>
      <c r="O115" s="982"/>
      <c r="P115" s="896"/>
      <c r="Q115" s="896"/>
      <c r="R115" s="911"/>
      <c r="S115" s="982"/>
      <c r="T115" s="896"/>
      <c r="U115" s="896"/>
      <c r="V115" s="911"/>
      <c r="W115" s="982"/>
      <c r="X115" s="896"/>
      <c r="Y115" s="896"/>
      <c r="Z115" s="911"/>
    </row>
    <row r="116" spans="1:26" ht="12.75">
      <c r="A116" s="351"/>
      <c r="B116" s="376" t="s">
        <v>908</v>
      </c>
      <c r="C116" s="358" t="s">
        <v>204</v>
      </c>
      <c r="D116" s="896"/>
      <c r="E116" s="896"/>
      <c r="F116" s="910">
        <f>+F71+F89+F94+F113</f>
        <v>95711</v>
      </c>
      <c r="G116" s="896"/>
      <c r="H116" s="896"/>
      <c r="I116" s="896"/>
      <c r="J116" s="910">
        <f>+J71+J89+J94+J113</f>
        <v>75108</v>
      </c>
      <c r="K116" s="896"/>
      <c r="L116" s="896"/>
      <c r="M116" s="896"/>
      <c r="N116" s="910">
        <f>+N71+N89+N94+N113</f>
        <v>55216</v>
      </c>
      <c r="O116" s="982"/>
      <c r="P116" s="896"/>
      <c r="Q116" s="896"/>
      <c r="R116" s="910">
        <f>+R71+R89+R94+R113</f>
        <v>26983</v>
      </c>
      <c r="S116" s="982"/>
      <c r="T116" s="896"/>
      <c r="U116" s="896"/>
      <c r="V116" s="910">
        <f>+V71+V89+V94+V113</f>
        <v>17462</v>
      </c>
      <c r="W116" s="982"/>
      <c r="X116" s="896"/>
      <c r="Y116" s="896"/>
      <c r="Z116" s="910">
        <f>+Z71+Z89+Z94+Z113</f>
        <v>11430</v>
      </c>
    </row>
    <row r="117" spans="1:26" ht="12.75">
      <c r="A117" s="351" t="s">
        <v>909</v>
      </c>
      <c r="B117" s="377" t="s">
        <v>910</v>
      </c>
      <c r="C117" s="359" t="s">
        <v>913</v>
      </c>
      <c r="D117" s="896"/>
      <c r="E117" s="896"/>
      <c r="F117" s="911"/>
      <c r="G117" s="896"/>
      <c r="H117" s="896"/>
      <c r="I117" s="896"/>
      <c r="J117" s="911"/>
      <c r="K117" s="896"/>
      <c r="L117" s="896"/>
      <c r="M117" s="896"/>
      <c r="N117" s="911">
        <v>187</v>
      </c>
      <c r="O117" s="982"/>
      <c r="P117" s="896"/>
      <c r="Q117" s="896"/>
      <c r="R117" s="911">
        <v>123</v>
      </c>
      <c r="S117" s="982"/>
      <c r="T117" s="896"/>
      <c r="U117" s="896"/>
      <c r="V117" s="911">
        <v>84</v>
      </c>
      <c r="W117" s="982"/>
      <c r="X117" s="896"/>
      <c r="Y117" s="896"/>
      <c r="Z117" s="911">
        <v>46</v>
      </c>
    </row>
    <row r="118" spans="1:26" ht="12.75">
      <c r="A118" s="351"/>
      <c r="B118" s="376" t="s">
        <v>911</v>
      </c>
      <c r="C118" s="358" t="s">
        <v>786</v>
      </c>
      <c r="D118" s="896"/>
      <c r="E118" s="896"/>
      <c r="F118" s="910">
        <f>+F116+F117</f>
        <v>95711</v>
      </c>
      <c r="G118" s="896"/>
      <c r="H118" s="896"/>
      <c r="I118" s="896"/>
      <c r="J118" s="910">
        <f>+J116+J117</f>
        <v>75108</v>
      </c>
      <c r="K118" s="896"/>
      <c r="L118" s="896"/>
      <c r="M118" s="896"/>
      <c r="N118" s="910">
        <f>+N116+N117</f>
        <v>55403</v>
      </c>
      <c r="O118" s="982"/>
      <c r="P118" s="896"/>
      <c r="Q118" s="896"/>
      <c r="R118" s="910">
        <f>+R116+R117</f>
        <v>27106</v>
      </c>
      <c r="S118" s="982"/>
      <c r="T118" s="896"/>
      <c r="U118" s="896"/>
      <c r="V118" s="910">
        <f>+V116+V117</f>
        <v>17546</v>
      </c>
      <c r="W118" s="982"/>
      <c r="X118" s="896"/>
      <c r="Y118" s="896"/>
      <c r="Z118" s="910">
        <f>+Z116+Z117</f>
        <v>11476</v>
      </c>
    </row>
    <row r="119" spans="1:26" ht="13.5" thickBot="1">
      <c r="A119" s="356" t="s">
        <v>1137</v>
      </c>
      <c r="B119" s="378" t="s">
        <v>912</v>
      </c>
      <c r="C119" s="913" t="s">
        <v>787</v>
      </c>
      <c r="D119" s="896"/>
      <c r="E119" s="896"/>
      <c r="F119" s="914">
        <v>2886</v>
      </c>
      <c r="G119" s="896"/>
      <c r="H119" s="896"/>
      <c r="I119" s="896"/>
      <c r="J119" s="914"/>
      <c r="K119" s="896"/>
      <c r="L119" s="896"/>
      <c r="M119" s="896"/>
      <c r="N119" s="914"/>
      <c r="O119" s="982"/>
      <c r="P119" s="896"/>
      <c r="Q119" s="896"/>
      <c r="R119" s="914"/>
      <c r="S119" s="982"/>
      <c r="T119" s="896"/>
      <c r="U119" s="896"/>
      <c r="V119" s="914"/>
      <c r="W119" s="982"/>
      <c r="X119" s="896"/>
      <c r="Y119" s="896"/>
      <c r="Z119" s="914"/>
    </row>
    <row r="120" spans="1:26" ht="13.5" thickTop="1">
      <c r="A120" s="380"/>
      <c r="B120" s="381"/>
      <c r="C120" s="915"/>
      <c r="D120" s="896"/>
      <c r="E120" s="896"/>
      <c r="F120" s="896"/>
      <c r="G120" s="896"/>
      <c r="H120" s="896"/>
      <c r="I120" s="896"/>
      <c r="J120" s="896"/>
      <c r="K120" s="896"/>
      <c r="L120" s="896"/>
      <c r="M120" s="896"/>
      <c r="N120" s="896"/>
      <c r="O120" s="982"/>
      <c r="P120" s="896"/>
      <c r="Q120" s="896"/>
      <c r="R120" s="896"/>
      <c r="S120" s="982"/>
      <c r="T120" s="896"/>
      <c r="U120" s="896"/>
      <c r="V120" s="896"/>
      <c r="W120" s="982"/>
      <c r="X120" s="896"/>
      <c r="Y120" s="896"/>
      <c r="Z120" s="896"/>
    </row>
    <row r="121" spans="1:26" ht="12.75">
      <c r="A121" s="381"/>
      <c r="B121" s="381"/>
      <c r="C121" s="915"/>
      <c r="D121" s="896"/>
      <c r="E121" s="896"/>
      <c r="F121" s="896"/>
      <c r="G121" s="896"/>
      <c r="H121" s="896"/>
      <c r="I121" s="896"/>
      <c r="J121" s="896"/>
      <c r="K121" s="896"/>
      <c r="L121" s="896"/>
      <c r="M121" s="896"/>
      <c r="N121" s="896"/>
      <c r="O121" s="982"/>
      <c r="P121" s="896"/>
      <c r="Q121" s="896"/>
      <c r="R121" s="896"/>
      <c r="S121" s="982"/>
      <c r="T121" s="896"/>
      <c r="U121" s="896"/>
      <c r="V121" s="896"/>
      <c r="W121" s="982"/>
      <c r="X121" s="896"/>
      <c r="Y121" s="896"/>
      <c r="Z121" s="896"/>
    </row>
    <row r="122" spans="1:26" ht="15.75">
      <c r="A122" s="385"/>
      <c r="B122" s="381"/>
      <c r="C122" s="916" t="s">
        <v>914</v>
      </c>
      <c r="D122" s="896"/>
      <c r="E122" s="896"/>
      <c r="F122" s="896"/>
      <c r="G122" s="896"/>
      <c r="H122" s="896"/>
      <c r="I122" s="896"/>
      <c r="J122" s="896"/>
      <c r="K122" s="896"/>
      <c r="L122" s="896"/>
      <c r="M122" s="896"/>
      <c r="N122" s="896"/>
      <c r="O122" s="982"/>
      <c r="P122" s="896"/>
      <c r="Q122" s="896"/>
      <c r="R122" s="896"/>
      <c r="S122" s="982"/>
      <c r="T122" s="896"/>
      <c r="U122" s="896"/>
      <c r="V122" s="896"/>
      <c r="W122" s="982"/>
      <c r="X122" s="896"/>
      <c r="Y122" s="896"/>
      <c r="Z122" s="896"/>
    </row>
    <row r="123" spans="1:26" ht="12.75">
      <c r="A123" s="385"/>
      <c r="B123" s="381"/>
      <c r="C123" s="915"/>
      <c r="D123" s="896"/>
      <c r="E123" s="896"/>
      <c r="F123" s="896"/>
      <c r="G123" s="896"/>
      <c r="H123" s="896"/>
      <c r="I123" s="896"/>
      <c r="J123" s="896"/>
      <c r="K123" s="896"/>
      <c r="L123" s="896"/>
      <c r="M123" s="896"/>
      <c r="N123" s="896"/>
      <c r="O123" s="982"/>
      <c r="P123" s="896"/>
      <c r="Q123" s="896"/>
      <c r="R123" s="896"/>
      <c r="S123" s="982"/>
      <c r="T123" s="896"/>
      <c r="U123" s="896"/>
      <c r="V123" s="896"/>
      <c r="W123" s="982"/>
      <c r="X123" s="896"/>
      <c r="Y123" s="896"/>
      <c r="Z123" s="896"/>
    </row>
    <row r="124" spans="1:26" ht="12.75">
      <c r="A124" s="385"/>
      <c r="B124" s="386" t="str">
        <f>+B1</f>
        <v>xu</v>
      </c>
      <c r="C124" s="915"/>
      <c r="D124" s="896"/>
      <c r="E124" s="896"/>
      <c r="F124" s="896"/>
      <c r="G124" s="896"/>
      <c r="H124" s="896"/>
      <c r="I124" s="896"/>
      <c r="J124" s="896"/>
      <c r="K124" s="896"/>
      <c r="L124" s="896"/>
      <c r="M124" s="896"/>
      <c r="N124" s="896"/>
      <c r="O124" s="982"/>
      <c r="P124" s="896"/>
      <c r="Q124" s="896"/>
      <c r="R124" s="896"/>
      <c r="S124" s="982"/>
      <c r="T124" s="896"/>
      <c r="U124" s="896"/>
      <c r="V124" s="896"/>
      <c r="W124" s="982"/>
      <c r="X124" s="896"/>
      <c r="Y124" s="896"/>
      <c r="Z124" s="896"/>
    </row>
    <row r="125" spans="1:26" ht="13.5" thickBot="1">
      <c r="A125" s="385"/>
      <c r="B125" s="381"/>
      <c r="C125" s="915"/>
      <c r="D125" s="896"/>
      <c r="E125" s="896"/>
      <c r="F125" s="886" t="str">
        <f>+$B$3</f>
        <v>U 000 din</v>
      </c>
      <c r="G125" s="896"/>
      <c r="H125" s="896"/>
      <c r="I125" s="896"/>
      <c r="J125" s="886" t="str">
        <f>+$B$3</f>
        <v>U 000 din</v>
      </c>
      <c r="K125" s="896"/>
      <c r="L125" s="896"/>
      <c r="M125" s="896"/>
      <c r="N125" s="886" t="str">
        <f>+$B$3</f>
        <v>U 000 din</v>
      </c>
      <c r="O125" s="982"/>
      <c r="P125" s="896"/>
      <c r="Q125" s="896"/>
      <c r="R125" s="886" t="str">
        <f>+$B$3</f>
        <v>U 000 din</v>
      </c>
      <c r="S125" s="982"/>
      <c r="T125" s="896"/>
      <c r="U125" s="896"/>
      <c r="V125" s="886" t="str">
        <f>+$B$3</f>
        <v>U 000 din</v>
      </c>
      <c r="W125" s="982"/>
      <c r="X125" s="896"/>
      <c r="Y125" s="896"/>
      <c r="Z125" s="886" t="str">
        <f>+$B$3</f>
        <v>U 000 din</v>
      </c>
    </row>
    <row r="126" spans="1:27" s="638" customFormat="1" ht="14.25" thickBot="1" thickTop="1">
      <c r="A126" s="917" t="s">
        <v>915</v>
      </c>
      <c r="B126" s="858" t="s">
        <v>1441</v>
      </c>
      <c r="C126" s="918" t="s">
        <v>424</v>
      </c>
      <c r="D126" s="896"/>
      <c r="E126" s="982"/>
      <c r="F126" s="885" t="s">
        <v>1302</v>
      </c>
      <c r="G126" s="919"/>
      <c r="H126" s="896"/>
      <c r="I126" s="982"/>
      <c r="J126" s="885">
        <v>2001</v>
      </c>
      <c r="K126" s="919"/>
      <c r="L126" s="919"/>
      <c r="M126" s="920"/>
      <c r="N126" s="885">
        <f>+J126-1</f>
        <v>2000</v>
      </c>
      <c r="O126" s="982"/>
      <c r="P126" s="896"/>
      <c r="Q126" s="982"/>
      <c r="R126" s="885">
        <f>+N126-1</f>
        <v>1999</v>
      </c>
      <c r="S126" s="982"/>
      <c r="T126" s="896"/>
      <c r="U126" s="982"/>
      <c r="V126" s="885">
        <f>+R126-1</f>
        <v>1998</v>
      </c>
      <c r="W126" s="982"/>
      <c r="X126" s="896"/>
      <c r="Y126" s="982"/>
      <c r="Z126" s="885">
        <f>+V126-1</f>
        <v>1997</v>
      </c>
      <c r="AA126" s="370"/>
    </row>
    <row r="127" spans="1:26" ht="13.5" thickTop="1">
      <c r="A127" s="387"/>
      <c r="B127" s="344"/>
      <c r="C127" s="388"/>
      <c r="D127" s="896"/>
      <c r="E127" s="982"/>
      <c r="F127" s="985" t="s">
        <v>419</v>
      </c>
      <c r="G127" s="896"/>
      <c r="H127" s="896"/>
      <c r="I127" s="982"/>
      <c r="J127" s="985" t="s">
        <v>419</v>
      </c>
      <c r="K127" s="896"/>
      <c r="L127" s="896"/>
      <c r="M127" s="982"/>
      <c r="N127" s="985" t="s">
        <v>419</v>
      </c>
      <c r="O127" s="982"/>
      <c r="P127" s="896"/>
      <c r="Q127" s="982"/>
      <c r="R127" s="985" t="s">
        <v>419</v>
      </c>
      <c r="S127" s="982"/>
      <c r="T127" s="896"/>
      <c r="U127" s="982"/>
      <c r="V127" s="985" t="s">
        <v>419</v>
      </c>
      <c r="W127" s="982"/>
      <c r="X127" s="896"/>
      <c r="Y127" s="982"/>
      <c r="Z127" s="985" t="s">
        <v>419</v>
      </c>
    </row>
    <row r="128" spans="1:26" ht="15.75">
      <c r="A128" s="387" t="s">
        <v>916</v>
      </c>
      <c r="B128" s="389" t="s">
        <v>917</v>
      </c>
      <c r="C128" s="921"/>
      <c r="D128" s="896"/>
      <c r="E128" s="982"/>
      <c r="F128" s="985"/>
      <c r="G128" s="896"/>
      <c r="H128" s="896"/>
      <c r="I128" s="982"/>
      <c r="J128" s="985"/>
      <c r="K128" s="896"/>
      <c r="L128" s="896"/>
      <c r="M128" s="982"/>
      <c r="N128" s="985"/>
      <c r="O128" s="982"/>
      <c r="P128" s="896"/>
      <c r="Q128" s="982"/>
      <c r="R128" s="985"/>
      <c r="S128" s="982"/>
      <c r="T128" s="896"/>
      <c r="U128" s="982"/>
      <c r="V128" s="985"/>
      <c r="W128" s="982"/>
      <c r="X128" s="896"/>
      <c r="Y128" s="982"/>
      <c r="Z128" s="985"/>
    </row>
    <row r="129" spans="1:26" ht="38.25">
      <c r="A129" s="387"/>
      <c r="B129" s="360" t="s">
        <v>1</v>
      </c>
      <c r="C129" s="922">
        <v>201</v>
      </c>
      <c r="D129" s="896"/>
      <c r="E129" s="982"/>
      <c r="F129" s="923">
        <f>+F130+F134+F138+F139+F140+F141</f>
        <v>100551</v>
      </c>
      <c r="G129" s="896"/>
      <c r="H129" s="896"/>
      <c r="I129" s="982"/>
      <c r="J129" s="923">
        <f>+J130+J134+J138+J139+J140+J141</f>
        <v>43105</v>
      </c>
      <c r="K129" s="896"/>
      <c r="L129" s="896"/>
      <c r="M129" s="982"/>
      <c r="N129" s="923">
        <f>+N130+N134+N138+N139+N140+N141</f>
        <v>25162</v>
      </c>
      <c r="O129" s="982"/>
      <c r="P129" s="896"/>
      <c r="Q129" s="982"/>
      <c r="R129" s="923">
        <f>+R130+R134+R138+R139+R140+R141</f>
        <v>9934</v>
      </c>
      <c r="S129" s="982"/>
      <c r="T129" s="896"/>
      <c r="U129" s="982"/>
      <c r="V129" s="923">
        <f>+V130+V134+V138+V139+V140+V141</f>
        <v>10251</v>
      </c>
      <c r="W129" s="982"/>
      <c r="X129" s="896"/>
      <c r="Y129" s="982"/>
      <c r="Z129" s="923">
        <f>+Z130+Z134+Z138+Z139+Z140+Z141</f>
        <v>7312</v>
      </c>
    </row>
    <row r="130" spans="1:26" ht="12.75">
      <c r="A130" s="390"/>
      <c r="B130" s="376" t="s">
        <v>918</v>
      </c>
      <c r="C130" s="922">
        <f>+C129+1</f>
        <v>202</v>
      </c>
      <c r="D130" s="896"/>
      <c r="E130" s="982"/>
      <c r="F130" s="924">
        <f>SUM(F131:F133)</f>
        <v>0</v>
      </c>
      <c r="G130" s="896"/>
      <c r="H130" s="896"/>
      <c r="I130" s="982"/>
      <c r="J130" s="924">
        <f>SUM(J131:J133)</f>
        <v>0</v>
      </c>
      <c r="K130" s="896"/>
      <c r="L130" s="896"/>
      <c r="M130" s="982"/>
      <c r="N130" s="924">
        <f>SUM(N131:N133)</f>
        <v>0</v>
      </c>
      <c r="O130" s="982"/>
      <c r="P130" s="896"/>
      <c r="Q130" s="982"/>
      <c r="R130" s="924">
        <f>SUM(R131:R133)</f>
        <v>93</v>
      </c>
      <c r="S130" s="982"/>
      <c r="T130" s="896"/>
      <c r="U130" s="982"/>
      <c r="V130" s="924">
        <f>SUM(V131:V133)</f>
        <v>0</v>
      </c>
      <c r="W130" s="982"/>
      <c r="X130" s="896"/>
      <c r="Y130" s="982"/>
      <c r="Z130" s="924">
        <f>SUM(Z131:Z133)</f>
        <v>0</v>
      </c>
    </row>
    <row r="131" spans="1:26" ht="12.75">
      <c r="A131" s="390">
        <v>600</v>
      </c>
      <c r="B131" s="377" t="s">
        <v>919</v>
      </c>
      <c r="C131" s="922">
        <f aca="true" t="shared" si="6" ref="C131:C194">+C130+1</f>
        <v>203</v>
      </c>
      <c r="D131" s="896"/>
      <c r="E131" s="982"/>
      <c r="F131" s="923"/>
      <c r="G131" s="896"/>
      <c r="H131" s="896"/>
      <c r="I131" s="982"/>
      <c r="J131" s="923"/>
      <c r="K131" s="896"/>
      <c r="L131" s="896"/>
      <c r="M131" s="982"/>
      <c r="N131" s="923"/>
      <c r="O131" s="982"/>
      <c r="P131" s="896"/>
      <c r="Q131" s="982"/>
      <c r="R131" s="923"/>
      <c r="S131" s="982"/>
      <c r="T131" s="896"/>
      <c r="U131" s="982"/>
      <c r="V131" s="923"/>
      <c r="W131" s="982"/>
      <c r="X131" s="896"/>
      <c r="Y131" s="982"/>
      <c r="Z131" s="923"/>
    </row>
    <row r="132" spans="1:26" ht="12.75">
      <c r="A132" s="390">
        <v>601</v>
      </c>
      <c r="B132" s="377" t="s">
        <v>920</v>
      </c>
      <c r="C132" s="922">
        <f t="shared" si="6"/>
        <v>204</v>
      </c>
      <c r="D132" s="896"/>
      <c r="E132" s="982"/>
      <c r="F132" s="923"/>
      <c r="G132" s="896"/>
      <c r="H132" s="896"/>
      <c r="I132" s="982"/>
      <c r="J132" s="923"/>
      <c r="K132" s="896"/>
      <c r="L132" s="896"/>
      <c r="M132" s="982"/>
      <c r="N132" s="923"/>
      <c r="O132" s="982"/>
      <c r="P132" s="896"/>
      <c r="Q132" s="982"/>
      <c r="R132" s="923">
        <v>93</v>
      </c>
      <c r="S132" s="982"/>
      <c r="T132" s="896"/>
      <c r="U132" s="982"/>
      <c r="V132" s="923"/>
      <c r="W132" s="982"/>
      <c r="X132" s="896"/>
      <c r="Y132" s="982"/>
      <c r="Z132" s="923"/>
    </row>
    <row r="133" spans="1:26" ht="12.75">
      <c r="A133" s="390">
        <v>602</v>
      </c>
      <c r="B133" s="377" t="s">
        <v>921</v>
      </c>
      <c r="C133" s="922">
        <f t="shared" si="6"/>
        <v>205</v>
      </c>
      <c r="D133" s="896"/>
      <c r="E133" s="982"/>
      <c r="F133" s="923"/>
      <c r="G133" s="896"/>
      <c r="H133" s="896"/>
      <c r="I133" s="982"/>
      <c r="J133" s="923"/>
      <c r="K133" s="896"/>
      <c r="L133" s="896"/>
      <c r="M133" s="982"/>
      <c r="N133" s="923"/>
      <c r="O133" s="982"/>
      <c r="P133" s="896"/>
      <c r="Q133" s="982"/>
      <c r="R133" s="923"/>
      <c r="S133" s="982"/>
      <c r="T133" s="896"/>
      <c r="U133" s="982"/>
      <c r="V133" s="923"/>
      <c r="W133" s="982"/>
      <c r="X133" s="896"/>
      <c r="Y133" s="982"/>
      <c r="Z133" s="923"/>
    </row>
    <row r="134" spans="1:26" ht="12.75">
      <c r="A134" s="390"/>
      <c r="B134" s="376" t="s">
        <v>922</v>
      </c>
      <c r="C134" s="922">
        <f t="shared" si="6"/>
        <v>206</v>
      </c>
      <c r="D134" s="896"/>
      <c r="E134" s="982"/>
      <c r="F134" s="924">
        <f>SUM(F135:F137)</f>
        <v>100039</v>
      </c>
      <c r="G134" s="896"/>
      <c r="H134" s="896"/>
      <c r="I134" s="982"/>
      <c r="J134" s="924">
        <f>SUM(J135:J137)</f>
        <v>42558</v>
      </c>
      <c r="K134" s="896"/>
      <c r="L134" s="896"/>
      <c r="M134" s="982"/>
      <c r="N134" s="924">
        <f>SUM(N135:N137)</f>
        <v>24994</v>
      </c>
      <c r="O134" s="982"/>
      <c r="P134" s="896"/>
      <c r="Q134" s="982"/>
      <c r="R134" s="924">
        <f>SUM(R135:R137)</f>
        <v>9640</v>
      </c>
      <c r="S134" s="982"/>
      <c r="T134" s="896"/>
      <c r="U134" s="982"/>
      <c r="V134" s="924">
        <f>SUM(V135:V137)</f>
        <v>10176</v>
      </c>
      <c r="W134" s="982"/>
      <c r="X134" s="896"/>
      <c r="Y134" s="982"/>
      <c r="Z134" s="924">
        <f>SUM(Z135:Z137)</f>
        <v>7312</v>
      </c>
    </row>
    <row r="135" spans="1:26" ht="12.75">
      <c r="A135" s="390">
        <v>610</v>
      </c>
      <c r="B135" s="377" t="s">
        <v>923</v>
      </c>
      <c r="C135" s="922">
        <f t="shared" si="6"/>
        <v>207</v>
      </c>
      <c r="D135" s="896"/>
      <c r="E135" s="982"/>
      <c r="F135" s="923"/>
      <c r="G135" s="896"/>
      <c r="H135" s="896"/>
      <c r="I135" s="982"/>
      <c r="J135" s="923"/>
      <c r="K135" s="896"/>
      <c r="L135" s="896"/>
      <c r="M135" s="982"/>
      <c r="N135" s="923"/>
      <c r="O135" s="982"/>
      <c r="P135" s="896"/>
      <c r="Q135" s="982"/>
      <c r="R135" s="923"/>
      <c r="S135" s="982"/>
      <c r="T135" s="896"/>
      <c r="U135" s="982"/>
      <c r="V135" s="923"/>
      <c r="W135" s="982"/>
      <c r="X135" s="896"/>
      <c r="Y135" s="982"/>
      <c r="Z135" s="923"/>
    </row>
    <row r="136" spans="1:26" ht="12.75">
      <c r="A136" s="390">
        <v>611</v>
      </c>
      <c r="B136" s="377" t="s">
        <v>924</v>
      </c>
      <c r="C136" s="922">
        <f t="shared" si="6"/>
        <v>208</v>
      </c>
      <c r="D136" s="896"/>
      <c r="E136" s="982"/>
      <c r="F136" s="923">
        <v>100039</v>
      </c>
      <c r="G136" s="896"/>
      <c r="H136" s="896"/>
      <c r="I136" s="982"/>
      <c r="J136" s="923">
        <v>42558</v>
      </c>
      <c r="K136" s="896"/>
      <c r="L136" s="896"/>
      <c r="M136" s="982"/>
      <c r="N136" s="923">
        <v>24994</v>
      </c>
      <c r="O136" s="982"/>
      <c r="P136" s="896"/>
      <c r="Q136" s="982"/>
      <c r="R136" s="923">
        <v>9640</v>
      </c>
      <c r="S136" s="982"/>
      <c r="T136" s="896"/>
      <c r="U136" s="982"/>
      <c r="V136" s="923">
        <v>10176</v>
      </c>
      <c r="W136" s="982"/>
      <c r="X136" s="896"/>
      <c r="Y136" s="982"/>
      <c r="Z136" s="923">
        <v>7312</v>
      </c>
    </row>
    <row r="137" spans="1:26" ht="12.75">
      <c r="A137" s="390">
        <v>612</v>
      </c>
      <c r="B137" s="377" t="s">
        <v>925</v>
      </c>
      <c r="C137" s="922">
        <f t="shared" si="6"/>
        <v>209</v>
      </c>
      <c r="D137" s="896"/>
      <c r="E137" s="982"/>
      <c r="F137" s="923"/>
      <c r="G137" s="896"/>
      <c r="H137" s="896"/>
      <c r="I137" s="982"/>
      <c r="J137" s="923"/>
      <c r="K137" s="896"/>
      <c r="L137" s="896"/>
      <c r="M137" s="982"/>
      <c r="N137" s="923"/>
      <c r="O137" s="982"/>
      <c r="P137" s="896"/>
      <c r="Q137" s="982"/>
      <c r="R137" s="923"/>
      <c r="S137" s="982"/>
      <c r="T137" s="896"/>
      <c r="U137" s="982"/>
      <c r="V137" s="923"/>
      <c r="W137" s="982"/>
      <c r="X137" s="896"/>
      <c r="Y137" s="982"/>
      <c r="Z137" s="923"/>
    </row>
    <row r="138" spans="1:26" ht="12.75">
      <c r="A138" s="390">
        <v>62</v>
      </c>
      <c r="B138" s="377" t="s">
        <v>926</v>
      </c>
      <c r="C138" s="922">
        <f t="shared" si="6"/>
        <v>210</v>
      </c>
      <c r="D138" s="896"/>
      <c r="E138" s="982"/>
      <c r="F138" s="923"/>
      <c r="G138" s="896"/>
      <c r="H138" s="896"/>
      <c r="I138" s="982"/>
      <c r="J138" s="923"/>
      <c r="K138" s="896"/>
      <c r="L138" s="896"/>
      <c r="M138" s="982"/>
      <c r="N138" s="923"/>
      <c r="O138" s="982"/>
      <c r="P138" s="896"/>
      <c r="Q138" s="982"/>
      <c r="R138" s="923"/>
      <c r="S138" s="982"/>
      <c r="T138" s="896"/>
      <c r="U138" s="982"/>
      <c r="V138" s="923"/>
      <c r="W138" s="982"/>
      <c r="X138" s="896"/>
      <c r="Y138" s="982"/>
      <c r="Z138" s="923"/>
    </row>
    <row r="139" spans="1:26" ht="12.75">
      <c r="A139" s="390">
        <v>64</v>
      </c>
      <c r="B139" s="377" t="s">
        <v>927</v>
      </c>
      <c r="C139" s="922">
        <f t="shared" si="6"/>
        <v>211</v>
      </c>
      <c r="D139" s="896"/>
      <c r="E139" s="982"/>
      <c r="F139" s="923">
        <v>505</v>
      </c>
      <c r="G139" s="896"/>
      <c r="H139" s="896"/>
      <c r="I139" s="982"/>
      <c r="J139" s="923">
        <v>537</v>
      </c>
      <c r="K139" s="896"/>
      <c r="L139" s="896"/>
      <c r="M139" s="982"/>
      <c r="N139" s="923">
        <v>162</v>
      </c>
      <c r="O139" s="982"/>
      <c r="P139" s="896"/>
      <c r="Q139" s="982"/>
      <c r="R139" s="923">
        <v>201</v>
      </c>
      <c r="S139" s="982"/>
      <c r="T139" s="896"/>
      <c r="U139" s="982"/>
      <c r="V139" s="923">
        <v>75</v>
      </c>
      <c r="W139" s="982"/>
      <c r="X139" s="896"/>
      <c r="Y139" s="982"/>
      <c r="Z139" s="923"/>
    </row>
    <row r="140" spans="1:26" ht="12.75">
      <c r="A140" s="390">
        <v>65</v>
      </c>
      <c r="B140" s="377" t="s">
        <v>928</v>
      </c>
      <c r="C140" s="922">
        <f t="shared" si="6"/>
        <v>212</v>
      </c>
      <c r="D140" s="896"/>
      <c r="E140" s="982"/>
      <c r="F140" s="923">
        <v>7</v>
      </c>
      <c r="G140" s="896"/>
      <c r="H140" s="896"/>
      <c r="I140" s="982"/>
      <c r="J140" s="923">
        <v>10</v>
      </c>
      <c r="K140" s="896"/>
      <c r="L140" s="896"/>
      <c r="M140" s="982"/>
      <c r="N140" s="923">
        <v>6</v>
      </c>
      <c r="O140" s="982"/>
      <c r="P140" s="896"/>
      <c r="Q140" s="982"/>
      <c r="R140" s="923"/>
      <c r="S140" s="982"/>
      <c r="T140" s="896"/>
      <c r="U140" s="982"/>
      <c r="V140" s="923"/>
      <c r="W140" s="982"/>
      <c r="X140" s="896"/>
      <c r="Y140" s="982"/>
      <c r="Z140" s="923"/>
    </row>
    <row r="141" spans="1:26" ht="12.75">
      <c r="A141" s="390">
        <v>630</v>
      </c>
      <c r="B141" s="377" t="s">
        <v>929</v>
      </c>
      <c r="C141" s="922">
        <f t="shared" si="6"/>
        <v>213</v>
      </c>
      <c r="D141" s="896"/>
      <c r="E141" s="982"/>
      <c r="F141" s="923"/>
      <c r="G141" s="896"/>
      <c r="H141" s="896"/>
      <c r="I141" s="982"/>
      <c r="J141" s="923"/>
      <c r="K141" s="896"/>
      <c r="L141" s="896"/>
      <c r="M141" s="982"/>
      <c r="N141" s="923"/>
      <c r="O141" s="982"/>
      <c r="P141" s="896"/>
      <c r="Q141" s="982"/>
      <c r="R141" s="923"/>
      <c r="S141" s="982"/>
      <c r="T141" s="896"/>
      <c r="U141" s="982"/>
      <c r="V141" s="923"/>
      <c r="W141" s="982"/>
      <c r="X141" s="896"/>
      <c r="Y141" s="982"/>
      <c r="Z141" s="923"/>
    </row>
    <row r="142" spans="1:26" ht="12.75">
      <c r="A142" s="390">
        <v>631</v>
      </c>
      <c r="B142" s="377" t="s">
        <v>930</v>
      </c>
      <c r="C142" s="922">
        <f t="shared" si="6"/>
        <v>214</v>
      </c>
      <c r="D142" s="896"/>
      <c r="E142" s="982"/>
      <c r="F142" s="923"/>
      <c r="G142" s="896"/>
      <c r="H142" s="896"/>
      <c r="I142" s="982"/>
      <c r="J142" s="923"/>
      <c r="K142" s="896"/>
      <c r="L142" s="896"/>
      <c r="M142" s="982"/>
      <c r="N142" s="923"/>
      <c r="O142" s="982"/>
      <c r="P142" s="896"/>
      <c r="Q142" s="982"/>
      <c r="R142" s="923"/>
      <c r="S142" s="982"/>
      <c r="T142" s="896"/>
      <c r="U142" s="982"/>
      <c r="V142" s="923"/>
      <c r="W142" s="982"/>
      <c r="X142" s="896"/>
      <c r="Y142" s="982"/>
      <c r="Z142" s="923"/>
    </row>
    <row r="143" spans="1:26" ht="12.75">
      <c r="A143" s="391"/>
      <c r="B143" s="166" t="s">
        <v>931</v>
      </c>
      <c r="C143" s="922">
        <f>+C142+1</f>
        <v>215</v>
      </c>
      <c r="D143" s="896"/>
      <c r="E143" s="982"/>
      <c r="F143" s="925">
        <f>+F129-F142</f>
        <v>100551</v>
      </c>
      <c r="G143" s="896"/>
      <c r="H143" s="896"/>
      <c r="I143" s="982"/>
      <c r="J143" s="925">
        <f>+J129-J142</f>
        <v>43105</v>
      </c>
      <c r="K143" s="896"/>
      <c r="L143" s="896"/>
      <c r="M143" s="982"/>
      <c r="N143" s="925">
        <f>+N129-N142</f>
        <v>25162</v>
      </c>
      <c r="O143" s="982"/>
      <c r="P143" s="896"/>
      <c r="Q143" s="982"/>
      <c r="R143" s="925">
        <f>+R129-R142</f>
        <v>9934</v>
      </c>
      <c r="S143" s="982"/>
      <c r="T143" s="896"/>
      <c r="U143" s="982"/>
      <c r="V143" s="925">
        <f>+V129-V142</f>
        <v>10251</v>
      </c>
      <c r="W143" s="982"/>
      <c r="X143" s="896"/>
      <c r="Y143" s="982"/>
      <c r="Z143" s="925">
        <f>+Z129-Z142</f>
        <v>7312</v>
      </c>
    </row>
    <row r="144" spans="1:26" ht="25.5">
      <c r="A144" s="391"/>
      <c r="B144" s="392" t="s">
        <v>2</v>
      </c>
      <c r="C144" s="922">
        <f t="shared" si="6"/>
        <v>216</v>
      </c>
      <c r="D144" s="896"/>
      <c r="E144" s="982"/>
      <c r="F144" s="923"/>
      <c r="G144" s="896"/>
      <c r="H144" s="896"/>
      <c r="I144" s="982"/>
      <c r="J144" s="923"/>
      <c r="K144" s="896"/>
      <c r="L144" s="896"/>
      <c r="M144" s="982"/>
      <c r="N144" s="923"/>
      <c r="O144" s="982"/>
      <c r="P144" s="896"/>
      <c r="Q144" s="982"/>
      <c r="R144" s="923"/>
      <c r="S144" s="982"/>
      <c r="T144" s="896"/>
      <c r="U144" s="982"/>
      <c r="V144" s="923"/>
      <c r="W144" s="982"/>
      <c r="X144" s="896"/>
      <c r="Y144" s="982"/>
      <c r="Z144" s="923"/>
    </row>
    <row r="145" spans="1:26" ht="12.75">
      <c r="A145" s="390"/>
      <c r="B145" s="377" t="s">
        <v>932</v>
      </c>
      <c r="C145" s="922">
        <f t="shared" si="6"/>
        <v>217</v>
      </c>
      <c r="D145" s="896"/>
      <c r="E145" s="982"/>
      <c r="F145" s="924">
        <f>+F146+F147</f>
        <v>22189</v>
      </c>
      <c r="G145" s="896"/>
      <c r="H145" s="896"/>
      <c r="I145" s="982"/>
      <c r="J145" s="924">
        <f>+J146+J147</f>
        <v>10453</v>
      </c>
      <c r="K145" s="896"/>
      <c r="L145" s="896"/>
      <c r="M145" s="982"/>
      <c r="N145" s="924">
        <f>+N146+N147</f>
        <v>4438</v>
      </c>
      <c r="O145" s="982"/>
      <c r="P145" s="896"/>
      <c r="Q145" s="982"/>
      <c r="R145" s="924">
        <f>+R146+R147</f>
        <v>1530</v>
      </c>
      <c r="S145" s="982"/>
      <c r="T145" s="896"/>
      <c r="U145" s="982"/>
      <c r="V145" s="924">
        <f>+V146+V147</f>
        <v>1874</v>
      </c>
      <c r="W145" s="982"/>
      <c r="X145" s="896"/>
      <c r="Y145" s="982"/>
      <c r="Z145" s="924">
        <f>+Z146+Z147</f>
        <v>1296</v>
      </c>
    </row>
    <row r="146" spans="1:26" ht="12.75">
      <c r="A146" s="390">
        <v>501</v>
      </c>
      <c r="B146" s="377" t="s">
        <v>933</v>
      </c>
      <c r="C146" s="922">
        <f t="shared" si="6"/>
        <v>218</v>
      </c>
      <c r="D146" s="896"/>
      <c r="E146" s="982"/>
      <c r="F146" s="923"/>
      <c r="G146" s="896"/>
      <c r="H146" s="896"/>
      <c r="I146" s="982"/>
      <c r="J146" s="923">
        <v>10453</v>
      </c>
      <c r="K146" s="896"/>
      <c r="L146" s="896"/>
      <c r="M146" s="982"/>
      <c r="N146" s="923">
        <v>7</v>
      </c>
      <c r="O146" s="982"/>
      <c r="P146" s="896"/>
      <c r="Q146" s="982"/>
      <c r="R146" s="923">
        <v>84</v>
      </c>
      <c r="S146" s="982"/>
      <c r="T146" s="896"/>
      <c r="U146" s="982"/>
      <c r="V146" s="923"/>
      <c r="W146" s="982"/>
      <c r="X146" s="896"/>
      <c r="Y146" s="982"/>
      <c r="Z146" s="923"/>
    </row>
    <row r="147" spans="1:26" ht="12.75">
      <c r="A147" s="390">
        <v>511</v>
      </c>
      <c r="B147" s="377" t="s">
        <v>983</v>
      </c>
      <c r="C147" s="922">
        <f t="shared" si="6"/>
        <v>219</v>
      </c>
      <c r="D147" s="896"/>
      <c r="E147" s="982"/>
      <c r="F147" s="923">
        <v>22189</v>
      </c>
      <c r="G147" s="896"/>
      <c r="H147" s="896"/>
      <c r="I147" s="982"/>
      <c r="J147" s="923"/>
      <c r="K147" s="896"/>
      <c r="L147" s="896"/>
      <c r="M147" s="982"/>
      <c r="N147" s="923">
        <v>4431</v>
      </c>
      <c r="O147" s="982"/>
      <c r="P147" s="896"/>
      <c r="Q147" s="982"/>
      <c r="R147" s="923">
        <v>1446</v>
      </c>
      <c r="S147" s="982"/>
      <c r="T147" s="896"/>
      <c r="U147" s="982"/>
      <c r="V147" s="923">
        <v>1874</v>
      </c>
      <c r="W147" s="982"/>
      <c r="X147" s="896"/>
      <c r="Y147" s="982"/>
      <c r="Z147" s="923">
        <v>1296</v>
      </c>
    </row>
    <row r="148" spans="1:26" ht="12.75">
      <c r="A148" s="390"/>
      <c r="B148" s="377" t="s">
        <v>3</v>
      </c>
      <c r="C148" s="922">
        <f t="shared" si="6"/>
        <v>220</v>
      </c>
      <c r="D148" s="896"/>
      <c r="E148" s="982"/>
      <c r="F148" s="926">
        <f>+IF(+F143-F145&gt;0,+F143-F145,0)</f>
        <v>78362</v>
      </c>
      <c r="G148" s="896"/>
      <c r="H148" s="896"/>
      <c r="I148" s="982"/>
      <c r="J148" s="926">
        <f>+IF(+J143-J145&gt;0,+J143-J145,0)</f>
        <v>32652</v>
      </c>
      <c r="K148" s="896"/>
      <c r="L148" s="896"/>
      <c r="M148" s="982"/>
      <c r="N148" s="926">
        <f>+IF(+N143-N145&gt;0,+N143-N145,0)</f>
        <v>20724</v>
      </c>
      <c r="O148" s="982"/>
      <c r="P148" s="896"/>
      <c r="Q148" s="982"/>
      <c r="R148" s="926">
        <f>+IF(+R143-R145&gt;0,+R143-R145,0)</f>
        <v>8404</v>
      </c>
      <c r="S148" s="982"/>
      <c r="T148" s="896"/>
      <c r="U148" s="982"/>
      <c r="V148" s="926">
        <f>+IF(+V143-V145&gt;0,+V143-V145,0)</f>
        <v>8377</v>
      </c>
      <c r="W148" s="982"/>
      <c r="X148" s="896"/>
      <c r="Y148" s="982"/>
      <c r="Z148" s="926">
        <f>+IF(+Z143-Z145&gt;0,+Z143-Z145,0)</f>
        <v>6016</v>
      </c>
    </row>
    <row r="149" spans="1:26" ht="12.75">
      <c r="A149" s="390"/>
      <c r="B149" s="377" t="s">
        <v>984</v>
      </c>
      <c r="C149" s="922">
        <f t="shared" si="6"/>
        <v>221</v>
      </c>
      <c r="D149" s="896"/>
      <c r="E149" s="982"/>
      <c r="F149" s="926">
        <f>+IF((+F144+F145-F143)&gt;0,+F144+F145-F143,0)</f>
        <v>0</v>
      </c>
      <c r="G149" s="896"/>
      <c r="H149" s="896"/>
      <c r="I149" s="982"/>
      <c r="J149" s="926">
        <f>+IF((+J144+J145-J143)&gt;0,+J144+J145-J143,0)</f>
        <v>0</v>
      </c>
      <c r="K149" s="896"/>
      <c r="L149" s="896"/>
      <c r="M149" s="982"/>
      <c r="N149" s="926">
        <f>+IF((+N144+N145-N143)&gt;0,+N144+N145-N143,0)</f>
        <v>0</v>
      </c>
      <c r="O149" s="982"/>
      <c r="P149" s="896"/>
      <c r="Q149" s="982"/>
      <c r="R149" s="926">
        <f>+IF((+R144+R145-R143)&gt;0,+R144+R145-R143,0)</f>
        <v>0</v>
      </c>
      <c r="S149" s="982"/>
      <c r="T149" s="896"/>
      <c r="U149" s="982"/>
      <c r="V149" s="926">
        <f>+IF((+V144+V145-V143)&gt;0,+V144+V145-V143,0)</f>
        <v>0</v>
      </c>
      <c r="W149" s="982"/>
      <c r="X149" s="896"/>
      <c r="Y149" s="982"/>
      <c r="Z149" s="926">
        <f>+IF((+Z144+Z145-Z143)&gt;0,+Z144+Z145-Z143,0)</f>
        <v>0</v>
      </c>
    </row>
    <row r="150" spans="1:26" ht="12.75">
      <c r="A150" s="390"/>
      <c r="B150" s="377" t="s">
        <v>985</v>
      </c>
      <c r="C150" s="922">
        <f t="shared" si="6"/>
        <v>222</v>
      </c>
      <c r="D150" s="896"/>
      <c r="E150" s="982"/>
      <c r="F150" s="924">
        <f>+F151+F152+F153+F158+F159+F160+F161+F162+F163</f>
        <v>75753</v>
      </c>
      <c r="G150" s="896"/>
      <c r="H150" s="896"/>
      <c r="I150" s="982"/>
      <c r="J150" s="924">
        <f>+J151+J152+J153+J158+J159+J160+J161+J162+J163</f>
        <v>36257</v>
      </c>
      <c r="K150" s="896"/>
      <c r="L150" s="896"/>
      <c r="M150" s="982"/>
      <c r="N150" s="924">
        <f>+N151+N152+N153+N158+N159+N160+N161+N162+N163</f>
        <v>20461</v>
      </c>
      <c r="O150" s="982"/>
      <c r="P150" s="896"/>
      <c r="Q150" s="982"/>
      <c r="R150" s="924">
        <f>+R151+R152+R153+R158+R159+R160+R161+R162+R163</f>
        <v>9373</v>
      </c>
      <c r="S150" s="982"/>
      <c r="T150" s="896"/>
      <c r="U150" s="982"/>
      <c r="V150" s="924">
        <f>+V151+V152+V153+V158+V159+V160+V161+V162+V163</f>
        <v>8444</v>
      </c>
      <c r="W150" s="982"/>
      <c r="X150" s="896"/>
      <c r="Y150" s="982"/>
      <c r="Z150" s="924">
        <f>+Z151+Z152+Z153+Z158+Z159+Z160+Z161+Z162+Z163</f>
        <v>5624</v>
      </c>
    </row>
    <row r="151" spans="1:26" ht="12.75">
      <c r="A151" s="390">
        <v>512</v>
      </c>
      <c r="B151" s="377" t="s">
        <v>986</v>
      </c>
      <c r="C151" s="922">
        <f t="shared" si="6"/>
        <v>223</v>
      </c>
      <c r="D151" s="896"/>
      <c r="E151" s="982"/>
      <c r="F151" s="923">
        <v>146</v>
      </c>
      <c r="G151" s="896"/>
      <c r="H151" s="896"/>
      <c r="I151" s="982"/>
      <c r="J151" s="923">
        <v>129</v>
      </c>
      <c r="K151" s="896"/>
      <c r="L151" s="896"/>
      <c r="M151" s="982"/>
      <c r="N151" s="923">
        <v>96</v>
      </c>
      <c r="O151" s="982"/>
      <c r="P151" s="896"/>
      <c r="Q151" s="982"/>
      <c r="R151" s="923">
        <v>37</v>
      </c>
      <c r="S151" s="982"/>
      <c r="T151" s="896"/>
      <c r="U151" s="982"/>
      <c r="V151" s="923">
        <v>40</v>
      </c>
      <c r="W151" s="982"/>
      <c r="X151" s="896"/>
      <c r="Y151" s="982"/>
      <c r="Z151" s="923">
        <v>23</v>
      </c>
    </row>
    <row r="152" spans="1:26" ht="12.75">
      <c r="A152" s="390">
        <v>513</v>
      </c>
      <c r="B152" s="377" t="s">
        <v>987</v>
      </c>
      <c r="C152" s="922">
        <f t="shared" si="6"/>
        <v>224</v>
      </c>
      <c r="D152" s="896"/>
      <c r="E152" s="982"/>
      <c r="F152" s="923">
        <v>8683</v>
      </c>
      <c r="G152" s="896"/>
      <c r="H152" s="896"/>
      <c r="I152" s="982"/>
      <c r="J152" s="923">
        <v>6161</v>
      </c>
      <c r="K152" s="896"/>
      <c r="L152" s="896"/>
      <c r="M152" s="982"/>
      <c r="N152" s="923">
        <v>2966</v>
      </c>
      <c r="O152" s="982"/>
      <c r="P152" s="896"/>
      <c r="Q152" s="982"/>
      <c r="R152" s="923">
        <v>865</v>
      </c>
      <c r="S152" s="982"/>
      <c r="T152" s="896"/>
      <c r="U152" s="982"/>
      <c r="V152" s="923">
        <v>1055</v>
      </c>
      <c r="W152" s="982"/>
      <c r="X152" s="896"/>
      <c r="Y152" s="982"/>
      <c r="Z152" s="923">
        <v>580</v>
      </c>
    </row>
    <row r="153" spans="1:26" ht="12.75">
      <c r="A153" s="390">
        <v>52</v>
      </c>
      <c r="B153" s="377" t="s">
        <v>988</v>
      </c>
      <c r="C153" s="922">
        <f t="shared" si="6"/>
        <v>225</v>
      </c>
      <c r="D153" s="896"/>
      <c r="E153" s="982"/>
      <c r="F153" s="924">
        <f>SUM(F154:F157)</f>
        <v>23963</v>
      </c>
      <c r="G153" s="896"/>
      <c r="H153" s="896"/>
      <c r="I153" s="982"/>
      <c r="J153" s="924">
        <f>SUM(J154:J157)</f>
        <v>10256</v>
      </c>
      <c r="K153" s="896"/>
      <c r="L153" s="896"/>
      <c r="M153" s="982"/>
      <c r="N153" s="924">
        <f>SUM(N154:N157)</f>
        <v>5134</v>
      </c>
      <c r="O153" s="982"/>
      <c r="P153" s="896"/>
      <c r="Q153" s="982"/>
      <c r="R153" s="924">
        <f>SUM(R154:R157)</f>
        <v>3111</v>
      </c>
      <c r="S153" s="982"/>
      <c r="T153" s="896"/>
      <c r="U153" s="982"/>
      <c r="V153" s="924">
        <f>SUM(V154:V157)</f>
        <v>2826</v>
      </c>
      <c r="W153" s="982"/>
      <c r="X153" s="896"/>
      <c r="Y153" s="982"/>
      <c r="Z153" s="924">
        <f>SUM(Z154:Z157)</f>
        <v>2020</v>
      </c>
    </row>
    <row r="154" spans="1:26" ht="12.75">
      <c r="A154" s="393">
        <v>520521</v>
      </c>
      <c r="B154" s="377" t="s">
        <v>989</v>
      </c>
      <c r="C154" s="922">
        <f t="shared" si="6"/>
        <v>226</v>
      </c>
      <c r="D154" s="896"/>
      <c r="E154" s="982"/>
      <c r="F154" s="923">
        <v>16228</v>
      </c>
      <c r="G154" s="896"/>
      <c r="H154" s="896"/>
      <c r="I154" s="982"/>
      <c r="J154" s="923">
        <v>6598</v>
      </c>
      <c r="K154" s="896"/>
      <c r="L154" s="896"/>
      <c r="M154" s="982"/>
      <c r="N154" s="923">
        <v>3134</v>
      </c>
      <c r="O154" s="982"/>
      <c r="P154" s="896"/>
      <c r="Q154" s="982"/>
      <c r="R154" s="923">
        <v>1905</v>
      </c>
      <c r="S154" s="982"/>
      <c r="T154" s="896"/>
      <c r="U154" s="982"/>
      <c r="V154" s="923">
        <v>1690</v>
      </c>
      <c r="W154" s="982"/>
      <c r="X154" s="896"/>
      <c r="Y154" s="982"/>
      <c r="Z154" s="923">
        <v>1171</v>
      </c>
    </row>
    <row r="155" spans="1:26" ht="12.75">
      <c r="A155" s="390">
        <v>522</v>
      </c>
      <c r="B155" s="377" t="s">
        <v>990</v>
      </c>
      <c r="C155" s="922">
        <f t="shared" si="6"/>
        <v>227</v>
      </c>
      <c r="D155" s="896"/>
      <c r="E155" s="982"/>
      <c r="F155" s="923">
        <v>3348</v>
      </c>
      <c r="G155" s="896"/>
      <c r="H155" s="896"/>
      <c r="I155" s="982"/>
      <c r="J155" s="923">
        <v>1371</v>
      </c>
      <c r="K155" s="896"/>
      <c r="L155" s="896"/>
      <c r="M155" s="982"/>
      <c r="N155" s="923">
        <v>648</v>
      </c>
      <c r="O155" s="982"/>
      <c r="P155" s="896"/>
      <c r="Q155" s="982"/>
      <c r="R155" s="923">
        <v>377</v>
      </c>
      <c r="S155" s="982"/>
      <c r="T155" s="896"/>
      <c r="U155" s="982"/>
      <c r="V155" s="923">
        <v>428</v>
      </c>
      <c r="W155" s="982"/>
      <c r="X155" s="896"/>
      <c r="Y155" s="982"/>
      <c r="Z155" s="923">
        <v>357</v>
      </c>
    </row>
    <row r="156" spans="1:26" ht="12.75">
      <c r="A156" s="390">
        <v>523</v>
      </c>
      <c r="B156" s="377" t="s">
        <v>991</v>
      </c>
      <c r="C156" s="922">
        <f t="shared" si="6"/>
        <v>228</v>
      </c>
      <c r="D156" s="896"/>
      <c r="E156" s="982"/>
      <c r="F156" s="923">
        <v>3797</v>
      </c>
      <c r="G156" s="896"/>
      <c r="H156" s="896"/>
      <c r="I156" s="982"/>
      <c r="J156" s="923">
        <v>1745</v>
      </c>
      <c r="K156" s="896"/>
      <c r="L156" s="896"/>
      <c r="M156" s="982"/>
      <c r="N156" s="923">
        <v>1156</v>
      </c>
      <c r="O156" s="982"/>
      <c r="P156" s="896"/>
      <c r="Q156" s="982"/>
      <c r="R156" s="923">
        <v>691</v>
      </c>
      <c r="S156" s="982"/>
      <c r="T156" s="896"/>
      <c r="U156" s="982"/>
      <c r="V156" s="923">
        <v>632</v>
      </c>
      <c r="W156" s="982"/>
      <c r="X156" s="896"/>
      <c r="Y156" s="982"/>
      <c r="Z156" s="923">
        <v>433</v>
      </c>
    </row>
    <row r="157" spans="1:26" ht="12.75">
      <c r="A157" s="390">
        <v>529</v>
      </c>
      <c r="B157" s="377" t="s">
        <v>992</v>
      </c>
      <c r="C157" s="922">
        <f t="shared" si="6"/>
        <v>229</v>
      </c>
      <c r="D157" s="896"/>
      <c r="E157" s="982"/>
      <c r="F157" s="923">
        <v>590</v>
      </c>
      <c r="G157" s="896"/>
      <c r="H157" s="896"/>
      <c r="I157" s="982"/>
      <c r="J157" s="923">
        <v>542</v>
      </c>
      <c r="K157" s="896"/>
      <c r="L157" s="896"/>
      <c r="M157" s="982"/>
      <c r="N157" s="923">
        <v>196</v>
      </c>
      <c r="O157" s="982"/>
      <c r="P157" s="896"/>
      <c r="Q157" s="982"/>
      <c r="R157" s="923">
        <v>138</v>
      </c>
      <c r="S157" s="982"/>
      <c r="T157" s="896"/>
      <c r="U157" s="982"/>
      <c r="V157" s="923">
        <v>76</v>
      </c>
      <c r="W157" s="982"/>
      <c r="X157" s="896"/>
      <c r="Y157" s="982"/>
      <c r="Z157" s="923">
        <v>59</v>
      </c>
    </row>
    <row r="158" spans="1:26" ht="12.75">
      <c r="A158" s="390">
        <v>53</v>
      </c>
      <c r="B158" s="377" t="s">
        <v>993</v>
      </c>
      <c r="C158" s="922">
        <f t="shared" si="6"/>
        <v>230</v>
      </c>
      <c r="D158" s="896"/>
      <c r="E158" s="982"/>
      <c r="F158" s="923">
        <v>19931</v>
      </c>
      <c r="G158" s="896"/>
      <c r="H158" s="896"/>
      <c r="I158" s="982"/>
      <c r="J158" s="923">
        <v>6846</v>
      </c>
      <c r="K158" s="896"/>
      <c r="L158" s="896"/>
      <c r="M158" s="982"/>
      <c r="N158" s="923">
        <v>4263</v>
      </c>
      <c r="O158" s="982"/>
      <c r="P158" s="896"/>
      <c r="Q158" s="982"/>
      <c r="R158" s="923">
        <v>1090</v>
      </c>
      <c r="S158" s="982"/>
      <c r="T158" s="896"/>
      <c r="U158" s="982"/>
      <c r="V158" s="923">
        <v>898</v>
      </c>
      <c r="W158" s="982"/>
      <c r="X158" s="896"/>
      <c r="Y158" s="982"/>
      <c r="Z158" s="923">
        <v>546</v>
      </c>
    </row>
    <row r="159" spans="1:26" ht="12.75">
      <c r="A159" s="390">
        <v>540</v>
      </c>
      <c r="B159" s="377" t="s">
        <v>994</v>
      </c>
      <c r="C159" s="922">
        <f t="shared" si="6"/>
        <v>231</v>
      </c>
      <c r="D159" s="896"/>
      <c r="E159" s="982"/>
      <c r="F159" s="923">
        <v>8293</v>
      </c>
      <c r="G159" s="896"/>
      <c r="H159" s="896"/>
      <c r="I159" s="982"/>
      <c r="J159" s="923">
        <v>6388</v>
      </c>
      <c r="K159" s="896"/>
      <c r="L159" s="896"/>
      <c r="M159" s="982"/>
      <c r="N159" s="923">
        <v>2370</v>
      </c>
      <c r="O159" s="982"/>
      <c r="P159" s="896"/>
      <c r="Q159" s="982"/>
      <c r="R159" s="923">
        <v>1544</v>
      </c>
      <c r="S159" s="982"/>
      <c r="T159" s="896"/>
      <c r="U159" s="982"/>
      <c r="V159" s="923">
        <v>1123</v>
      </c>
      <c r="W159" s="982"/>
      <c r="X159" s="896"/>
      <c r="Y159" s="982"/>
      <c r="Z159" s="923">
        <v>1029</v>
      </c>
    </row>
    <row r="160" spans="1:26" ht="12.75">
      <c r="A160" s="390">
        <v>541</v>
      </c>
      <c r="B160" s="377" t="s">
        <v>995</v>
      </c>
      <c r="C160" s="922">
        <f t="shared" si="6"/>
        <v>232</v>
      </c>
      <c r="D160" s="896"/>
      <c r="E160" s="982"/>
      <c r="F160" s="923"/>
      <c r="G160" s="896"/>
      <c r="H160" s="896"/>
      <c r="I160" s="982"/>
      <c r="J160" s="923">
        <v>0</v>
      </c>
      <c r="K160" s="896"/>
      <c r="L160" s="896"/>
      <c r="M160" s="982"/>
      <c r="N160" s="923">
        <v>0</v>
      </c>
      <c r="O160" s="982"/>
      <c r="P160" s="896"/>
      <c r="Q160" s="982"/>
      <c r="R160" s="923">
        <v>0</v>
      </c>
      <c r="S160" s="982"/>
      <c r="T160" s="896"/>
      <c r="U160" s="982"/>
      <c r="V160" s="923"/>
      <c r="W160" s="982"/>
      <c r="X160" s="896"/>
      <c r="Y160" s="982"/>
      <c r="Z160" s="923"/>
    </row>
    <row r="161" spans="1:26" ht="12.75">
      <c r="A161" s="390" t="s">
        <v>996</v>
      </c>
      <c r="B161" s="377" t="s">
        <v>622</v>
      </c>
      <c r="C161" s="922">
        <f t="shared" si="6"/>
        <v>233</v>
      </c>
      <c r="D161" s="896"/>
      <c r="E161" s="982"/>
      <c r="F161" s="923">
        <v>9765</v>
      </c>
      <c r="G161" s="896"/>
      <c r="H161" s="896"/>
      <c r="I161" s="982"/>
      <c r="J161" s="923">
        <v>4157</v>
      </c>
      <c r="K161" s="896"/>
      <c r="L161" s="896"/>
      <c r="M161" s="982"/>
      <c r="N161" s="923">
        <v>4140</v>
      </c>
      <c r="O161" s="982"/>
      <c r="P161" s="896"/>
      <c r="Q161" s="982"/>
      <c r="R161" s="923">
        <v>1799</v>
      </c>
      <c r="S161" s="982"/>
      <c r="T161" s="896"/>
      <c r="U161" s="982"/>
      <c r="V161" s="923">
        <v>1622</v>
      </c>
      <c r="W161" s="982"/>
      <c r="X161" s="896"/>
      <c r="Y161" s="982"/>
      <c r="Z161" s="923">
        <v>808</v>
      </c>
    </row>
    <row r="162" spans="1:26" ht="12.75">
      <c r="A162" s="390">
        <v>556</v>
      </c>
      <c r="B162" s="377" t="s">
        <v>997</v>
      </c>
      <c r="C162" s="922">
        <f t="shared" si="6"/>
        <v>234</v>
      </c>
      <c r="D162" s="896"/>
      <c r="E162" s="982"/>
      <c r="F162" s="923">
        <v>1032</v>
      </c>
      <c r="G162" s="896"/>
      <c r="H162" s="896"/>
      <c r="I162" s="982"/>
      <c r="J162" s="923">
        <v>359</v>
      </c>
      <c r="K162" s="896"/>
      <c r="L162" s="896"/>
      <c r="M162" s="982"/>
      <c r="N162" s="923">
        <v>80</v>
      </c>
      <c r="O162" s="982"/>
      <c r="P162" s="896"/>
      <c r="Q162" s="982"/>
      <c r="R162" s="923">
        <v>51</v>
      </c>
      <c r="S162" s="982"/>
      <c r="T162" s="896"/>
      <c r="U162" s="982"/>
      <c r="V162" s="923">
        <v>67</v>
      </c>
      <c r="W162" s="982"/>
      <c r="X162" s="896"/>
      <c r="Y162" s="982"/>
      <c r="Z162" s="923">
        <v>57</v>
      </c>
    </row>
    <row r="163" spans="1:26" ht="12.75">
      <c r="A163" s="390">
        <v>557</v>
      </c>
      <c r="B163" s="377" t="s">
        <v>998</v>
      </c>
      <c r="C163" s="922">
        <f t="shared" si="6"/>
        <v>235</v>
      </c>
      <c r="D163" s="896"/>
      <c r="E163" s="982"/>
      <c r="F163" s="923">
        <v>3940</v>
      </c>
      <c r="G163" s="896"/>
      <c r="H163" s="896"/>
      <c r="I163" s="982"/>
      <c r="J163" s="923">
        <v>1961</v>
      </c>
      <c r="K163" s="896"/>
      <c r="L163" s="896"/>
      <c r="M163" s="982"/>
      <c r="N163" s="923">
        <v>1412</v>
      </c>
      <c r="O163" s="982"/>
      <c r="P163" s="896"/>
      <c r="Q163" s="982"/>
      <c r="R163" s="923">
        <v>876</v>
      </c>
      <c r="S163" s="982"/>
      <c r="T163" s="896"/>
      <c r="U163" s="982"/>
      <c r="V163" s="923">
        <v>813</v>
      </c>
      <c r="W163" s="982"/>
      <c r="X163" s="896"/>
      <c r="Y163" s="982"/>
      <c r="Z163" s="923">
        <v>561</v>
      </c>
    </row>
    <row r="164" spans="1:26" ht="12.75">
      <c r="A164" s="390"/>
      <c r="B164" s="377" t="s">
        <v>999</v>
      </c>
      <c r="C164" s="922">
        <f t="shared" si="6"/>
        <v>236</v>
      </c>
      <c r="D164" s="896"/>
      <c r="E164" s="982"/>
      <c r="F164" s="926">
        <f>IF(F148&gt;F150,+F148-F150,0)</f>
        <v>2609</v>
      </c>
      <c r="G164" s="896"/>
      <c r="H164" s="896"/>
      <c r="I164" s="982"/>
      <c r="J164" s="926">
        <f>IF(J148&gt;J150,+J148-J150,0)</f>
        <v>0</v>
      </c>
      <c r="K164" s="896"/>
      <c r="L164" s="896"/>
      <c r="M164" s="982"/>
      <c r="N164" s="926">
        <f>IF(N148&gt;N150,+N148-N150,0)</f>
        <v>263</v>
      </c>
      <c r="O164" s="982"/>
      <c r="P164" s="896"/>
      <c r="Q164" s="982"/>
      <c r="R164" s="926">
        <f>IF(R148&gt;R150,+R148-R150,0)</f>
        <v>0</v>
      </c>
      <c r="S164" s="982"/>
      <c r="T164" s="896"/>
      <c r="U164" s="982"/>
      <c r="V164" s="926">
        <f>IF(V148&gt;V150,+V148-V150,0)</f>
        <v>0</v>
      </c>
      <c r="W164" s="982"/>
      <c r="X164" s="896"/>
      <c r="Y164" s="982"/>
      <c r="Z164" s="926">
        <f>IF(Z148&gt;Z150,+Z148-Z150,0)</f>
        <v>392</v>
      </c>
    </row>
    <row r="165" spans="1:26" ht="12.75">
      <c r="A165" s="390"/>
      <c r="B165" s="377" t="s">
        <v>1000</v>
      </c>
      <c r="C165" s="922">
        <f t="shared" si="6"/>
        <v>237</v>
      </c>
      <c r="D165" s="896"/>
      <c r="E165" s="982"/>
      <c r="F165" s="926">
        <f>+IF(+F150-F148+F149&gt;0,+F150-F148+F149,0)</f>
        <v>0</v>
      </c>
      <c r="G165" s="896"/>
      <c r="H165" s="896"/>
      <c r="I165" s="982"/>
      <c r="J165" s="926">
        <f>+IF(+J150-J148+J149&gt;0,+J150-J148+J149,0)</f>
        <v>3605</v>
      </c>
      <c r="K165" s="896"/>
      <c r="L165" s="896"/>
      <c r="M165" s="982"/>
      <c r="N165" s="926">
        <f>+IF(+N150-N148+N149&gt;0,+N150-N148+N149,0)</f>
        <v>0</v>
      </c>
      <c r="O165" s="982"/>
      <c r="P165" s="896"/>
      <c r="Q165" s="982"/>
      <c r="R165" s="926">
        <f>+IF(+R150-R148+R149&gt;0,+R150-R148+R149,0)</f>
        <v>969</v>
      </c>
      <c r="S165" s="982"/>
      <c r="T165" s="896"/>
      <c r="U165" s="982"/>
      <c r="V165" s="926">
        <f>+IF(+V150-V148+V149&gt;0,+V150-V148+V149,0)</f>
        <v>67</v>
      </c>
      <c r="W165" s="982"/>
      <c r="X165" s="896"/>
      <c r="Y165" s="982"/>
      <c r="Z165" s="926">
        <f>+IF(+Z150-Z148+Z149&gt;0,+Z150-Z148+Z149,0)</f>
        <v>0</v>
      </c>
    </row>
    <row r="166" spans="1:26" ht="24">
      <c r="A166" s="390"/>
      <c r="B166" s="394" t="s">
        <v>4</v>
      </c>
      <c r="C166" s="922">
        <f t="shared" si="6"/>
        <v>238</v>
      </c>
      <c r="D166" s="896"/>
      <c r="E166" s="982"/>
      <c r="F166" s="924">
        <f>SUM(F167:F170)</f>
        <v>175</v>
      </c>
      <c r="G166" s="896"/>
      <c r="H166" s="896"/>
      <c r="I166" s="982"/>
      <c r="J166" s="924">
        <f>SUM(J167:J170)</f>
        <v>1088</v>
      </c>
      <c r="K166" s="896"/>
      <c r="L166" s="896"/>
      <c r="M166" s="982"/>
      <c r="N166" s="924">
        <f>SUM(N167:N170)</f>
        <v>15</v>
      </c>
      <c r="O166" s="982"/>
      <c r="P166" s="896"/>
      <c r="Q166" s="982"/>
      <c r="R166" s="924">
        <f>SUM(R167:R170)</f>
        <v>42</v>
      </c>
      <c r="S166" s="982"/>
      <c r="T166" s="896"/>
      <c r="U166" s="982"/>
      <c r="V166" s="924">
        <f>SUM(V167:V170)</f>
        <v>24</v>
      </c>
      <c r="W166" s="982"/>
      <c r="X166" s="896"/>
      <c r="Y166" s="982"/>
      <c r="Z166" s="924">
        <f>SUM(Z167:Z170)</f>
        <v>3</v>
      </c>
    </row>
    <row r="167" spans="1:26" ht="12.75">
      <c r="A167" s="390">
        <v>660</v>
      </c>
      <c r="B167" s="377" t="s">
        <v>1001</v>
      </c>
      <c r="C167" s="922">
        <f t="shared" si="6"/>
        <v>239</v>
      </c>
      <c r="D167" s="896"/>
      <c r="E167" s="982"/>
      <c r="F167" s="923"/>
      <c r="G167" s="896"/>
      <c r="H167" s="896"/>
      <c r="I167" s="982"/>
      <c r="J167" s="923"/>
      <c r="K167" s="896"/>
      <c r="L167" s="896"/>
      <c r="M167" s="982"/>
      <c r="N167" s="923"/>
      <c r="O167" s="982"/>
      <c r="P167" s="896"/>
      <c r="Q167" s="982"/>
      <c r="R167" s="923"/>
      <c r="S167" s="982"/>
      <c r="T167" s="896"/>
      <c r="U167" s="982"/>
      <c r="V167" s="923"/>
      <c r="W167" s="982"/>
      <c r="X167" s="896"/>
      <c r="Y167" s="982"/>
      <c r="Z167" s="923"/>
    </row>
    <row r="168" spans="1:26" ht="12.75">
      <c r="A168" s="390">
        <v>661</v>
      </c>
      <c r="B168" s="377" t="s">
        <v>1002</v>
      </c>
      <c r="C168" s="922">
        <f t="shared" si="6"/>
        <v>240</v>
      </c>
      <c r="D168" s="896"/>
      <c r="E168" s="982"/>
      <c r="F168" s="923">
        <v>172</v>
      </c>
      <c r="G168" s="896"/>
      <c r="H168" s="896"/>
      <c r="I168" s="982"/>
      <c r="J168" s="923">
        <v>1088</v>
      </c>
      <c r="K168" s="896"/>
      <c r="L168" s="896"/>
      <c r="M168" s="982"/>
      <c r="N168" s="923">
        <v>15</v>
      </c>
      <c r="O168" s="982"/>
      <c r="P168" s="896"/>
      <c r="Q168" s="982"/>
      <c r="R168" s="923">
        <v>42</v>
      </c>
      <c r="S168" s="982"/>
      <c r="T168" s="896"/>
      <c r="U168" s="982"/>
      <c r="V168" s="923">
        <v>24</v>
      </c>
      <c r="W168" s="982"/>
      <c r="X168" s="896"/>
      <c r="Y168" s="982"/>
      <c r="Z168" s="923">
        <v>3</v>
      </c>
    </row>
    <row r="169" spans="1:26" ht="12.75">
      <c r="A169" s="390">
        <v>662</v>
      </c>
      <c r="B169" s="377" t="s">
        <v>1003</v>
      </c>
      <c r="C169" s="922">
        <f t="shared" si="6"/>
        <v>241</v>
      </c>
      <c r="D169" s="896"/>
      <c r="E169" s="982"/>
      <c r="F169" s="923">
        <v>3</v>
      </c>
      <c r="G169" s="896"/>
      <c r="H169" s="896"/>
      <c r="I169" s="982"/>
      <c r="J169" s="923"/>
      <c r="K169" s="896"/>
      <c r="L169" s="896"/>
      <c r="M169" s="982"/>
      <c r="N169" s="923"/>
      <c r="O169" s="982"/>
      <c r="P169" s="896"/>
      <c r="Q169" s="982"/>
      <c r="R169" s="923"/>
      <c r="S169" s="982"/>
      <c r="T169" s="896"/>
      <c r="U169" s="982"/>
      <c r="V169" s="923"/>
      <c r="W169" s="982"/>
      <c r="X169" s="896"/>
      <c r="Y169" s="982"/>
      <c r="Z169" s="923"/>
    </row>
    <row r="170" spans="1:26" ht="12.75">
      <c r="A170" s="390">
        <v>669</v>
      </c>
      <c r="B170" s="377" t="s">
        <v>1004</v>
      </c>
      <c r="C170" s="922">
        <f t="shared" si="6"/>
        <v>242</v>
      </c>
      <c r="D170" s="896"/>
      <c r="E170" s="982"/>
      <c r="F170" s="923"/>
      <c r="G170" s="896"/>
      <c r="H170" s="896"/>
      <c r="I170" s="982"/>
      <c r="J170" s="923"/>
      <c r="K170" s="896"/>
      <c r="L170" s="896"/>
      <c r="M170" s="982"/>
      <c r="N170" s="923"/>
      <c r="O170" s="982"/>
      <c r="P170" s="896"/>
      <c r="Q170" s="982"/>
      <c r="R170" s="923"/>
      <c r="S170" s="982"/>
      <c r="T170" s="896"/>
      <c r="U170" s="982"/>
      <c r="V170" s="923"/>
      <c r="W170" s="982"/>
      <c r="X170" s="896"/>
      <c r="Y170" s="982"/>
      <c r="Z170" s="923"/>
    </row>
    <row r="171" spans="1:26" ht="15">
      <c r="A171" s="390"/>
      <c r="B171" s="395" t="s">
        <v>1005</v>
      </c>
      <c r="C171" s="922">
        <f t="shared" si="6"/>
        <v>243</v>
      </c>
      <c r="D171" s="896"/>
      <c r="E171" s="982"/>
      <c r="F171" s="924">
        <f>SUM(F172:F176)</f>
        <v>1005</v>
      </c>
      <c r="G171" s="896"/>
      <c r="H171" s="896"/>
      <c r="I171" s="982"/>
      <c r="J171" s="924">
        <f>SUM(J172:J176)</f>
        <v>1664</v>
      </c>
      <c r="K171" s="896"/>
      <c r="L171" s="896"/>
      <c r="M171" s="982"/>
      <c r="N171" s="924">
        <f>SUM(N172:N176)</f>
        <v>43</v>
      </c>
      <c r="O171" s="982"/>
      <c r="P171" s="896"/>
      <c r="Q171" s="982"/>
      <c r="R171" s="924">
        <f>SUM(R172:R176)</f>
        <v>20</v>
      </c>
      <c r="S171" s="982"/>
      <c r="T171" s="896"/>
      <c r="U171" s="982"/>
      <c r="V171" s="924">
        <f>SUM(V172:V176)</f>
        <v>96</v>
      </c>
      <c r="W171" s="982"/>
      <c r="X171" s="896"/>
      <c r="Y171" s="982"/>
      <c r="Z171" s="924">
        <f>SUM(Z172:Z176)</f>
        <v>66</v>
      </c>
    </row>
    <row r="172" spans="1:26" ht="12.75">
      <c r="A172" s="390">
        <v>560</v>
      </c>
      <c r="B172" s="377" t="s">
        <v>1006</v>
      </c>
      <c r="C172" s="922">
        <f t="shared" si="6"/>
        <v>244</v>
      </c>
      <c r="D172" s="896"/>
      <c r="E172" s="982"/>
      <c r="F172" s="923"/>
      <c r="G172" s="896"/>
      <c r="H172" s="896"/>
      <c r="I172" s="982"/>
      <c r="J172" s="923"/>
      <c r="K172" s="896"/>
      <c r="L172" s="896"/>
      <c r="M172" s="982"/>
      <c r="N172" s="923"/>
      <c r="O172" s="982"/>
      <c r="P172" s="896"/>
      <c r="Q172" s="982"/>
      <c r="R172" s="923"/>
      <c r="S172" s="982"/>
      <c r="T172" s="896"/>
      <c r="U172" s="982"/>
      <c r="V172" s="923"/>
      <c r="W172" s="982"/>
      <c r="X172" s="896"/>
      <c r="Y172" s="982"/>
      <c r="Z172" s="923"/>
    </row>
    <row r="173" spans="1:26" ht="12.75">
      <c r="A173" s="390">
        <v>561</v>
      </c>
      <c r="B173" s="377" t="s">
        <v>1007</v>
      </c>
      <c r="C173" s="922">
        <f t="shared" si="6"/>
        <v>245</v>
      </c>
      <c r="D173" s="896"/>
      <c r="E173" s="982"/>
      <c r="F173" s="923">
        <v>853</v>
      </c>
      <c r="G173" s="896"/>
      <c r="H173" s="896"/>
      <c r="I173" s="982"/>
      <c r="J173" s="923">
        <v>1664</v>
      </c>
      <c r="K173" s="896"/>
      <c r="L173" s="896"/>
      <c r="M173" s="982"/>
      <c r="N173" s="923">
        <v>43</v>
      </c>
      <c r="O173" s="982"/>
      <c r="P173" s="896"/>
      <c r="Q173" s="982"/>
      <c r="R173" s="923">
        <v>20</v>
      </c>
      <c r="S173" s="982"/>
      <c r="T173" s="896"/>
      <c r="U173" s="982"/>
      <c r="V173" s="923">
        <v>96</v>
      </c>
      <c r="W173" s="982"/>
      <c r="X173" s="896"/>
      <c r="Y173" s="982"/>
      <c r="Z173" s="923">
        <v>66</v>
      </c>
    </row>
    <row r="174" spans="1:26" ht="12.75">
      <c r="A174" s="390">
        <v>562</v>
      </c>
      <c r="B174" s="377" t="s">
        <v>1008</v>
      </c>
      <c r="C174" s="922">
        <f t="shared" si="6"/>
        <v>246</v>
      </c>
      <c r="D174" s="896"/>
      <c r="E174" s="982"/>
      <c r="F174" s="923"/>
      <c r="G174" s="896"/>
      <c r="H174" s="896"/>
      <c r="I174" s="982"/>
      <c r="J174" s="923"/>
      <c r="K174" s="896"/>
      <c r="L174" s="896"/>
      <c r="M174" s="982"/>
      <c r="N174" s="923"/>
      <c r="O174" s="982"/>
      <c r="P174" s="896"/>
      <c r="Q174" s="982"/>
      <c r="R174" s="923"/>
      <c r="S174" s="982"/>
      <c r="T174" s="896"/>
      <c r="U174" s="982"/>
      <c r="V174" s="923"/>
      <c r="W174" s="982"/>
      <c r="X174" s="896"/>
      <c r="Y174" s="982"/>
      <c r="Z174" s="923"/>
    </row>
    <row r="175" spans="1:26" ht="12.75">
      <c r="A175" s="390">
        <v>563</v>
      </c>
      <c r="B175" s="377" t="s">
        <v>1009</v>
      </c>
      <c r="C175" s="922">
        <f t="shared" si="6"/>
        <v>247</v>
      </c>
      <c r="D175" s="896"/>
      <c r="E175" s="982"/>
      <c r="F175" s="923"/>
      <c r="G175" s="896"/>
      <c r="H175" s="896"/>
      <c r="I175" s="982"/>
      <c r="J175" s="923"/>
      <c r="K175" s="896"/>
      <c r="L175" s="896"/>
      <c r="M175" s="982"/>
      <c r="N175" s="923"/>
      <c r="O175" s="982"/>
      <c r="P175" s="896"/>
      <c r="Q175" s="982"/>
      <c r="R175" s="923"/>
      <c r="S175" s="982"/>
      <c r="T175" s="896"/>
      <c r="U175" s="982"/>
      <c r="V175" s="923"/>
      <c r="W175" s="982"/>
      <c r="X175" s="896"/>
      <c r="Y175" s="982"/>
      <c r="Z175" s="923"/>
    </row>
    <row r="176" spans="1:26" ht="12.75">
      <c r="A176" s="390">
        <v>569</v>
      </c>
      <c r="B176" s="377" t="s">
        <v>1010</v>
      </c>
      <c r="C176" s="922">
        <f t="shared" si="6"/>
        <v>248</v>
      </c>
      <c r="D176" s="896"/>
      <c r="E176" s="982"/>
      <c r="F176" s="923">
        <v>152</v>
      </c>
      <c r="G176" s="896"/>
      <c r="H176" s="896"/>
      <c r="I176" s="982"/>
      <c r="J176" s="923"/>
      <c r="K176" s="896"/>
      <c r="L176" s="896"/>
      <c r="M176" s="982"/>
      <c r="N176" s="923"/>
      <c r="O176" s="982"/>
      <c r="P176" s="896"/>
      <c r="Q176" s="982"/>
      <c r="R176" s="923"/>
      <c r="S176" s="982"/>
      <c r="T176" s="896"/>
      <c r="U176" s="982"/>
      <c r="V176" s="923"/>
      <c r="W176" s="982"/>
      <c r="X176" s="896"/>
      <c r="Y176" s="982"/>
      <c r="Z176" s="923"/>
    </row>
    <row r="177" spans="1:26" ht="12.75">
      <c r="A177" s="390"/>
      <c r="B177" s="377" t="s">
        <v>1011</v>
      </c>
      <c r="C177" s="922">
        <f t="shared" si="6"/>
        <v>249</v>
      </c>
      <c r="D177" s="896"/>
      <c r="E177" s="982"/>
      <c r="F177" s="926">
        <f>IF(+F166&gt;F171,+F166-F171,0)</f>
        <v>0</v>
      </c>
      <c r="G177" s="896"/>
      <c r="H177" s="896"/>
      <c r="I177" s="982"/>
      <c r="J177" s="926">
        <f>IF(+J166&gt;J171,+J166-J171,0)</f>
        <v>0</v>
      </c>
      <c r="K177" s="896"/>
      <c r="L177" s="896"/>
      <c r="M177" s="982"/>
      <c r="N177" s="926">
        <f>IF(+N166&gt;N171,+N166-N171,0)</f>
        <v>0</v>
      </c>
      <c r="O177" s="982"/>
      <c r="P177" s="896"/>
      <c r="Q177" s="982"/>
      <c r="R177" s="926">
        <f>IF(+R166&gt;R171,+R166-R171,0)</f>
        <v>22</v>
      </c>
      <c r="S177" s="982"/>
      <c r="T177" s="896"/>
      <c r="U177" s="982"/>
      <c r="V177" s="926">
        <f>IF(+V166&gt;V171,+V166-V171,0)</f>
        <v>0</v>
      </c>
      <c r="W177" s="982"/>
      <c r="X177" s="896"/>
      <c r="Y177" s="982"/>
      <c r="Z177" s="926">
        <f>IF(+Z166&gt;Z171,+Z166-Z171,0)</f>
        <v>0</v>
      </c>
    </row>
    <row r="178" spans="1:26" ht="12.75">
      <c r="A178" s="390"/>
      <c r="B178" s="377" t="s">
        <v>1012</v>
      </c>
      <c r="C178" s="922">
        <f t="shared" si="6"/>
        <v>250</v>
      </c>
      <c r="D178" s="896"/>
      <c r="E178" s="982"/>
      <c r="F178" s="926">
        <f>IF(+F171&gt;F166,+F171-F166,0)</f>
        <v>830</v>
      </c>
      <c r="G178" s="896"/>
      <c r="H178" s="896"/>
      <c r="I178" s="982"/>
      <c r="J178" s="926">
        <f>IF(+J171&gt;J166,+J171-J166,0)</f>
        <v>576</v>
      </c>
      <c r="K178" s="896"/>
      <c r="L178" s="896"/>
      <c r="M178" s="982"/>
      <c r="N178" s="926">
        <f>IF(+N171&gt;N166,+N171-N166,0)</f>
        <v>28</v>
      </c>
      <c r="O178" s="982"/>
      <c r="P178" s="896"/>
      <c r="Q178" s="982"/>
      <c r="R178" s="926">
        <f>IF(+R171&gt;R166,+R171-R166,0)</f>
        <v>0</v>
      </c>
      <c r="S178" s="982"/>
      <c r="T178" s="896"/>
      <c r="U178" s="982"/>
      <c r="V178" s="926">
        <f>IF(+V171&gt;V166,+V171-V166,0)</f>
        <v>72</v>
      </c>
      <c r="W178" s="982"/>
      <c r="X178" s="896"/>
      <c r="Y178" s="982"/>
      <c r="Z178" s="926">
        <f>IF(+Z171&gt;Z166,+Z171-Z166,0)</f>
        <v>63</v>
      </c>
    </row>
    <row r="179" spans="1:26" ht="38.25">
      <c r="A179" s="390"/>
      <c r="B179" s="360" t="s">
        <v>5</v>
      </c>
      <c r="C179" s="922">
        <f t="shared" si="6"/>
        <v>251</v>
      </c>
      <c r="D179" s="896"/>
      <c r="E179" s="982"/>
      <c r="F179" s="924">
        <f>SUM(F180:F186)</f>
        <v>190</v>
      </c>
      <c r="G179" s="896"/>
      <c r="H179" s="896"/>
      <c r="I179" s="982"/>
      <c r="J179" s="924">
        <f>SUM(J180:J186)</f>
        <v>126</v>
      </c>
      <c r="K179" s="896"/>
      <c r="L179" s="896"/>
      <c r="M179" s="982"/>
      <c r="N179" s="924">
        <f>SUM(N180:N186)</f>
        <v>188</v>
      </c>
      <c r="O179" s="982"/>
      <c r="P179" s="896"/>
      <c r="Q179" s="982"/>
      <c r="R179" s="924">
        <f>SUM(R180:R186)</f>
        <v>15</v>
      </c>
      <c r="S179" s="982"/>
      <c r="T179" s="896"/>
      <c r="U179" s="982"/>
      <c r="V179" s="924">
        <f>SUM(V180:V186)</f>
        <v>67</v>
      </c>
      <c r="W179" s="982"/>
      <c r="X179" s="896"/>
      <c r="Y179" s="982"/>
      <c r="Z179" s="924">
        <f>SUM(Z180:Z186)</f>
        <v>148</v>
      </c>
    </row>
    <row r="180" spans="1:26" ht="12.75">
      <c r="A180" s="390">
        <v>670</v>
      </c>
      <c r="B180" s="377" t="s">
        <v>1013</v>
      </c>
      <c r="C180" s="922">
        <f t="shared" si="6"/>
        <v>252</v>
      </c>
      <c r="D180" s="896"/>
      <c r="E180" s="982"/>
      <c r="F180" s="923"/>
      <c r="G180" s="896"/>
      <c r="H180" s="896"/>
      <c r="I180" s="982"/>
      <c r="J180" s="923">
        <v>23</v>
      </c>
      <c r="K180" s="896"/>
      <c r="L180" s="896"/>
      <c r="M180" s="982"/>
      <c r="N180" s="923"/>
      <c r="O180" s="982"/>
      <c r="P180" s="896"/>
      <c r="Q180" s="982"/>
      <c r="R180" s="923"/>
      <c r="S180" s="982"/>
      <c r="T180" s="896"/>
      <c r="U180" s="982"/>
      <c r="V180" s="923"/>
      <c r="W180" s="982"/>
      <c r="X180" s="896"/>
      <c r="Y180" s="982"/>
      <c r="Z180" s="923"/>
    </row>
    <row r="181" spans="1:26" ht="12.75">
      <c r="A181" s="390">
        <v>671</v>
      </c>
      <c r="B181" s="377" t="s">
        <v>1014</v>
      </c>
      <c r="C181" s="922">
        <f t="shared" si="6"/>
        <v>253</v>
      </c>
      <c r="D181" s="896"/>
      <c r="E181" s="982"/>
      <c r="F181" s="923"/>
      <c r="G181" s="896"/>
      <c r="H181" s="896"/>
      <c r="I181" s="982"/>
      <c r="J181" s="923"/>
      <c r="K181" s="896"/>
      <c r="L181" s="896"/>
      <c r="M181" s="982"/>
      <c r="N181" s="923"/>
      <c r="O181" s="982"/>
      <c r="P181" s="896"/>
      <c r="Q181" s="982"/>
      <c r="R181" s="923"/>
      <c r="S181" s="982"/>
      <c r="T181" s="896"/>
      <c r="U181" s="982"/>
      <c r="V181" s="923"/>
      <c r="W181" s="982"/>
      <c r="X181" s="896"/>
      <c r="Y181" s="982"/>
      <c r="Z181" s="923"/>
    </row>
    <row r="182" spans="1:26" ht="12.75">
      <c r="A182" s="390">
        <v>672</v>
      </c>
      <c r="B182" s="377" t="s">
        <v>1015</v>
      </c>
      <c r="C182" s="922">
        <f t="shared" si="6"/>
        <v>254</v>
      </c>
      <c r="D182" s="896"/>
      <c r="E182" s="982"/>
      <c r="F182" s="923"/>
      <c r="G182" s="896"/>
      <c r="H182" s="896"/>
      <c r="I182" s="982"/>
      <c r="J182" s="923"/>
      <c r="K182" s="896"/>
      <c r="L182" s="896"/>
      <c r="M182" s="982"/>
      <c r="N182" s="923"/>
      <c r="O182" s="982"/>
      <c r="P182" s="896"/>
      <c r="Q182" s="982"/>
      <c r="R182" s="923"/>
      <c r="S182" s="982"/>
      <c r="T182" s="896"/>
      <c r="U182" s="982"/>
      <c r="V182" s="923"/>
      <c r="W182" s="982"/>
      <c r="X182" s="896"/>
      <c r="Y182" s="982"/>
      <c r="Z182" s="923"/>
    </row>
    <row r="183" spans="1:26" ht="12.75">
      <c r="A183" s="390">
        <v>673</v>
      </c>
      <c r="B183" s="377" t="s">
        <v>1016</v>
      </c>
      <c r="C183" s="922">
        <f t="shared" si="6"/>
        <v>255</v>
      </c>
      <c r="D183" s="896"/>
      <c r="E183" s="982"/>
      <c r="F183" s="923"/>
      <c r="G183" s="896"/>
      <c r="H183" s="896"/>
      <c r="I183" s="982"/>
      <c r="J183" s="923">
        <v>21</v>
      </c>
      <c r="K183" s="896"/>
      <c r="L183" s="896"/>
      <c r="M183" s="982"/>
      <c r="N183" s="923">
        <v>11</v>
      </c>
      <c r="O183" s="982"/>
      <c r="P183" s="896"/>
      <c r="Q183" s="982"/>
      <c r="R183" s="923">
        <v>3</v>
      </c>
      <c r="S183" s="982"/>
      <c r="T183" s="896"/>
      <c r="U183" s="982"/>
      <c r="V183" s="923">
        <v>49</v>
      </c>
      <c r="W183" s="982"/>
      <c r="X183" s="896"/>
      <c r="Y183" s="982"/>
      <c r="Z183" s="923">
        <v>2</v>
      </c>
    </row>
    <row r="184" spans="1:26" ht="12.75">
      <c r="A184" s="390">
        <v>674</v>
      </c>
      <c r="B184" s="377" t="s">
        <v>1017</v>
      </c>
      <c r="C184" s="922">
        <f t="shared" si="6"/>
        <v>256</v>
      </c>
      <c r="D184" s="896"/>
      <c r="E184" s="982"/>
      <c r="F184" s="923"/>
      <c r="G184" s="896"/>
      <c r="H184" s="896"/>
      <c r="I184" s="982"/>
      <c r="J184" s="923"/>
      <c r="K184" s="896"/>
      <c r="L184" s="896"/>
      <c r="M184" s="982"/>
      <c r="N184" s="923"/>
      <c r="O184" s="982"/>
      <c r="P184" s="896"/>
      <c r="Q184" s="982"/>
      <c r="R184" s="923"/>
      <c r="S184" s="982"/>
      <c r="T184" s="896"/>
      <c r="U184" s="982"/>
      <c r="V184" s="923"/>
      <c r="W184" s="982"/>
      <c r="X184" s="896"/>
      <c r="Y184" s="982"/>
      <c r="Z184" s="923"/>
    </row>
    <row r="185" spans="1:26" ht="38.25">
      <c r="A185" s="390">
        <v>675676</v>
      </c>
      <c r="B185" s="360" t="s">
        <v>6</v>
      </c>
      <c r="C185" s="922">
        <f t="shared" si="6"/>
        <v>257</v>
      </c>
      <c r="D185" s="896"/>
      <c r="E185" s="982"/>
      <c r="F185" s="923"/>
      <c r="G185" s="896"/>
      <c r="H185" s="896"/>
      <c r="I185" s="982"/>
      <c r="J185" s="923"/>
      <c r="K185" s="896"/>
      <c r="L185" s="896"/>
      <c r="M185" s="982"/>
      <c r="N185" s="923"/>
      <c r="O185" s="982"/>
      <c r="P185" s="896"/>
      <c r="Q185" s="982"/>
      <c r="R185" s="923"/>
      <c r="S185" s="982"/>
      <c r="T185" s="896"/>
      <c r="U185" s="982"/>
      <c r="V185" s="923"/>
      <c r="W185" s="982"/>
      <c r="X185" s="896"/>
      <c r="Y185" s="982"/>
      <c r="Z185" s="923"/>
    </row>
    <row r="186" spans="1:26" ht="12.75">
      <c r="A186" s="390">
        <v>679</v>
      </c>
      <c r="B186" s="377" t="s">
        <v>1018</v>
      </c>
      <c r="C186" s="922">
        <f t="shared" si="6"/>
        <v>258</v>
      </c>
      <c r="D186" s="896"/>
      <c r="E186" s="982"/>
      <c r="F186" s="923">
        <v>190</v>
      </c>
      <c r="G186" s="896"/>
      <c r="H186" s="896"/>
      <c r="I186" s="982"/>
      <c r="J186" s="923">
        <v>82</v>
      </c>
      <c r="K186" s="896"/>
      <c r="L186" s="896"/>
      <c r="M186" s="982"/>
      <c r="N186" s="923">
        <v>177</v>
      </c>
      <c r="O186" s="982"/>
      <c r="P186" s="896"/>
      <c r="Q186" s="982"/>
      <c r="R186" s="923">
        <v>12</v>
      </c>
      <c r="S186" s="982"/>
      <c r="T186" s="896"/>
      <c r="U186" s="982"/>
      <c r="V186" s="923">
        <v>18</v>
      </c>
      <c r="W186" s="982"/>
      <c r="X186" s="896"/>
      <c r="Y186" s="982"/>
      <c r="Z186" s="923">
        <v>146</v>
      </c>
    </row>
    <row r="187" spans="1:26" ht="15">
      <c r="A187" s="393">
        <v>570571</v>
      </c>
      <c r="B187" s="395" t="s">
        <v>1019</v>
      </c>
      <c r="C187" s="922">
        <f t="shared" si="6"/>
        <v>259</v>
      </c>
      <c r="D187" s="896"/>
      <c r="E187" s="982"/>
      <c r="F187" s="924">
        <f>SUM(F188:F195)</f>
        <v>1277</v>
      </c>
      <c r="G187" s="896"/>
      <c r="H187" s="896"/>
      <c r="I187" s="982"/>
      <c r="J187" s="924">
        <f>SUM(J188:J195)</f>
        <v>167</v>
      </c>
      <c r="K187" s="896"/>
      <c r="L187" s="896"/>
      <c r="M187" s="982"/>
      <c r="N187" s="924">
        <f>SUM(N188:N195)</f>
        <v>0</v>
      </c>
      <c r="O187" s="982"/>
      <c r="P187" s="896"/>
      <c r="Q187" s="982"/>
      <c r="R187" s="924">
        <f>SUM(R188:R195)</f>
        <v>16</v>
      </c>
      <c r="S187" s="982"/>
      <c r="T187" s="896"/>
      <c r="U187" s="982"/>
      <c r="V187" s="924">
        <f>SUM(V188:V195)</f>
        <v>10</v>
      </c>
      <c r="W187" s="982"/>
      <c r="X187" s="896"/>
      <c r="Y187" s="982"/>
      <c r="Z187" s="924">
        <f>SUM(Z188:Z195)</f>
        <v>7</v>
      </c>
    </row>
    <row r="188" spans="1:26" ht="38.25">
      <c r="A188" s="390" t="s">
        <v>1020</v>
      </c>
      <c r="B188" s="360" t="s">
        <v>7</v>
      </c>
      <c r="C188" s="922">
        <f t="shared" si="6"/>
        <v>260</v>
      </c>
      <c r="D188" s="896"/>
      <c r="E188" s="982"/>
      <c r="F188" s="923">
        <v>111</v>
      </c>
      <c r="G188" s="896"/>
      <c r="H188" s="896"/>
      <c r="I188" s="982"/>
      <c r="J188" s="923"/>
      <c r="K188" s="896"/>
      <c r="L188" s="896"/>
      <c r="M188" s="982"/>
      <c r="N188" s="923"/>
      <c r="O188" s="982"/>
      <c r="P188" s="896"/>
      <c r="Q188" s="982"/>
      <c r="R188" s="923"/>
      <c r="S188" s="982"/>
      <c r="T188" s="896"/>
      <c r="U188" s="982"/>
      <c r="V188" s="923"/>
      <c r="W188" s="982"/>
      <c r="X188" s="896"/>
      <c r="Y188" s="982"/>
      <c r="Z188" s="923"/>
    </row>
    <row r="189" spans="1:26" ht="12.75">
      <c r="A189" s="390">
        <v>572</v>
      </c>
      <c r="B189" s="377" t="s">
        <v>1021</v>
      </c>
      <c r="C189" s="922">
        <f t="shared" si="6"/>
        <v>261</v>
      </c>
      <c r="D189" s="896"/>
      <c r="E189" s="982"/>
      <c r="F189" s="923"/>
      <c r="G189" s="896"/>
      <c r="H189" s="896"/>
      <c r="I189" s="982"/>
      <c r="J189" s="923"/>
      <c r="K189" s="896"/>
      <c r="L189" s="896"/>
      <c r="M189" s="982"/>
      <c r="N189" s="923"/>
      <c r="O189" s="982"/>
      <c r="P189" s="896"/>
      <c r="Q189" s="982"/>
      <c r="R189" s="923"/>
      <c r="S189" s="982"/>
      <c r="T189" s="896"/>
      <c r="U189" s="982"/>
      <c r="V189" s="923"/>
      <c r="W189" s="982"/>
      <c r="X189" s="896"/>
      <c r="Y189" s="982"/>
      <c r="Z189" s="923"/>
    </row>
    <row r="190" spans="1:26" ht="12.75">
      <c r="A190" s="390">
        <v>573</v>
      </c>
      <c r="B190" s="377" t="s">
        <v>1022</v>
      </c>
      <c r="C190" s="922">
        <f t="shared" si="6"/>
        <v>262</v>
      </c>
      <c r="D190" s="896"/>
      <c r="E190" s="982"/>
      <c r="F190" s="923"/>
      <c r="G190" s="896"/>
      <c r="H190" s="896"/>
      <c r="I190" s="982"/>
      <c r="J190" s="923"/>
      <c r="K190" s="896"/>
      <c r="L190" s="896"/>
      <c r="M190" s="982"/>
      <c r="N190" s="923"/>
      <c r="O190" s="982"/>
      <c r="P190" s="896"/>
      <c r="Q190" s="982"/>
      <c r="R190" s="923"/>
      <c r="S190" s="982"/>
      <c r="T190" s="896"/>
      <c r="U190" s="982"/>
      <c r="V190" s="923"/>
      <c r="W190" s="982"/>
      <c r="X190" s="896"/>
      <c r="Y190" s="982"/>
      <c r="Z190" s="923"/>
    </row>
    <row r="191" spans="1:26" ht="12.75">
      <c r="A191" s="390">
        <v>574</v>
      </c>
      <c r="B191" s="377" t="s">
        <v>1023</v>
      </c>
      <c r="C191" s="922">
        <f t="shared" si="6"/>
        <v>263</v>
      </c>
      <c r="D191" s="896"/>
      <c r="E191" s="982"/>
      <c r="F191" s="923">
        <v>204</v>
      </c>
      <c r="G191" s="896"/>
      <c r="H191" s="896"/>
      <c r="I191" s="982"/>
      <c r="J191" s="923">
        <v>148</v>
      </c>
      <c r="K191" s="896"/>
      <c r="L191" s="896"/>
      <c r="M191" s="982"/>
      <c r="N191" s="923"/>
      <c r="O191" s="982"/>
      <c r="P191" s="896"/>
      <c r="Q191" s="982"/>
      <c r="R191" s="923"/>
      <c r="S191" s="982"/>
      <c r="T191" s="896"/>
      <c r="U191" s="982"/>
      <c r="V191" s="923">
        <v>10</v>
      </c>
      <c r="W191" s="982"/>
      <c r="X191" s="896"/>
      <c r="Y191" s="982"/>
      <c r="Z191" s="923">
        <v>7</v>
      </c>
    </row>
    <row r="192" spans="1:26" ht="12.75">
      <c r="A192" s="393">
        <v>575</v>
      </c>
      <c r="B192" s="377" t="s">
        <v>1024</v>
      </c>
      <c r="C192" s="922">
        <f t="shared" si="6"/>
        <v>264</v>
      </c>
      <c r="D192" s="896"/>
      <c r="E192" s="982"/>
      <c r="F192" s="923"/>
      <c r="G192" s="896"/>
      <c r="H192" s="896"/>
      <c r="I192" s="982"/>
      <c r="J192" s="923"/>
      <c r="K192" s="896"/>
      <c r="L192" s="896"/>
      <c r="M192" s="982"/>
      <c r="N192" s="923"/>
      <c r="O192" s="982"/>
      <c r="P192" s="896"/>
      <c r="Q192" s="982"/>
      <c r="R192" s="923"/>
      <c r="S192" s="982"/>
      <c r="T192" s="896"/>
      <c r="U192" s="982"/>
      <c r="V192" s="923"/>
      <c r="W192" s="982"/>
      <c r="X192" s="896"/>
      <c r="Y192" s="982"/>
      <c r="Z192" s="923"/>
    </row>
    <row r="193" spans="1:26" ht="12.75">
      <c r="A193" s="393">
        <v>576</v>
      </c>
      <c r="B193" s="377" t="s">
        <v>1025</v>
      </c>
      <c r="C193" s="922">
        <f t="shared" si="6"/>
        <v>265</v>
      </c>
      <c r="D193" s="896"/>
      <c r="E193" s="982"/>
      <c r="F193" s="923">
        <v>44</v>
      </c>
      <c r="G193" s="896"/>
      <c r="H193" s="896"/>
      <c r="I193" s="982"/>
      <c r="J193" s="923"/>
      <c r="K193" s="896"/>
      <c r="L193" s="896"/>
      <c r="M193" s="982"/>
      <c r="N193" s="923"/>
      <c r="O193" s="982"/>
      <c r="P193" s="896"/>
      <c r="Q193" s="982"/>
      <c r="R193" s="923"/>
      <c r="S193" s="982"/>
      <c r="T193" s="896"/>
      <c r="U193" s="982"/>
      <c r="V193" s="923"/>
      <c r="W193" s="982"/>
      <c r="X193" s="896"/>
      <c r="Y193" s="982"/>
      <c r="Z193" s="923"/>
    </row>
    <row r="194" spans="1:26" ht="12.75">
      <c r="A194" s="393" t="s">
        <v>1026</v>
      </c>
      <c r="B194" s="377" t="s">
        <v>1027</v>
      </c>
      <c r="C194" s="922">
        <f t="shared" si="6"/>
        <v>266</v>
      </c>
      <c r="D194" s="896"/>
      <c r="E194" s="982"/>
      <c r="F194" s="923"/>
      <c r="G194" s="896"/>
      <c r="H194" s="896"/>
      <c r="I194" s="982"/>
      <c r="J194" s="923"/>
      <c r="K194" s="896"/>
      <c r="L194" s="896"/>
      <c r="M194" s="982"/>
      <c r="N194" s="923"/>
      <c r="O194" s="982"/>
      <c r="P194" s="896"/>
      <c r="Q194" s="982"/>
      <c r="R194" s="923"/>
      <c r="S194" s="982"/>
      <c r="T194" s="896"/>
      <c r="U194" s="982"/>
      <c r="V194" s="923"/>
      <c r="W194" s="982"/>
      <c r="X194" s="896"/>
      <c r="Y194" s="982"/>
      <c r="Z194" s="923"/>
    </row>
    <row r="195" spans="1:26" ht="12.75">
      <c r="A195" s="393">
        <v>579</v>
      </c>
      <c r="B195" s="377" t="s">
        <v>1028</v>
      </c>
      <c r="C195" s="922">
        <f aca="true" t="shared" si="7" ref="C195:C217">+C194+1</f>
        <v>267</v>
      </c>
      <c r="D195" s="896"/>
      <c r="E195" s="982"/>
      <c r="F195" s="923">
        <v>918</v>
      </c>
      <c r="G195" s="896"/>
      <c r="H195" s="896"/>
      <c r="I195" s="982"/>
      <c r="J195" s="923">
        <v>19</v>
      </c>
      <c r="K195" s="896"/>
      <c r="L195" s="896"/>
      <c r="M195" s="982"/>
      <c r="N195" s="923"/>
      <c r="O195" s="982"/>
      <c r="P195" s="896"/>
      <c r="Q195" s="982"/>
      <c r="R195" s="923">
        <v>16</v>
      </c>
      <c r="S195" s="982"/>
      <c r="T195" s="896"/>
      <c r="U195" s="982"/>
      <c r="V195" s="923"/>
      <c r="W195" s="982"/>
      <c r="X195" s="896"/>
      <c r="Y195" s="982"/>
      <c r="Z195" s="923"/>
    </row>
    <row r="196" spans="1:26" ht="12.75">
      <c r="A196" s="390"/>
      <c r="B196" s="377" t="s">
        <v>1029</v>
      </c>
      <c r="C196" s="922">
        <f t="shared" si="7"/>
        <v>268</v>
      </c>
      <c r="D196" s="896"/>
      <c r="E196" s="982"/>
      <c r="F196" s="926">
        <f>IF(+F179&gt;F187,+F179-F187,0)</f>
        <v>0</v>
      </c>
      <c r="G196" s="896"/>
      <c r="H196" s="896"/>
      <c r="I196" s="982"/>
      <c r="J196" s="926">
        <f>IF(+J179&gt;J187,+J179-J187,0)</f>
        <v>0</v>
      </c>
      <c r="K196" s="896"/>
      <c r="L196" s="896"/>
      <c r="M196" s="982"/>
      <c r="N196" s="926">
        <f>IF(+N179&gt;N187,+N179-N187,0)</f>
        <v>188</v>
      </c>
      <c r="O196" s="982"/>
      <c r="P196" s="896"/>
      <c r="Q196" s="982"/>
      <c r="R196" s="926">
        <f>IF(+R179&gt;R187,+R179-R187,0)</f>
        <v>0</v>
      </c>
      <c r="S196" s="982"/>
      <c r="T196" s="896"/>
      <c r="U196" s="982"/>
      <c r="V196" s="926">
        <f>IF(+V179&gt;V187,+V179-V187,0)</f>
        <v>57</v>
      </c>
      <c r="W196" s="982"/>
      <c r="X196" s="896"/>
      <c r="Y196" s="982"/>
      <c r="Z196" s="926">
        <f>IF(+Z179&gt;Z187,+Z179-Z187,0)</f>
        <v>141</v>
      </c>
    </row>
    <row r="197" spans="1:26" ht="12.75">
      <c r="A197" s="390"/>
      <c r="B197" s="377" t="s">
        <v>1030</v>
      </c>
      <c r="C197" s="922">
        <f t="shared" si="7"/>
        <v>269</v>
      </c>
      <c r="D197" s="896"/>
      <c r="E197" s="982"/>
      <c r="F197" s="926">
        <f>IF(+F187&gt;F179,+F187-F179,0)</f>
        <v>1087</v>
      </c>
      <c r="G197" s="896"/>
      <c r="H197" s="896"/>
      <c r="I197" s="982"/>
      <c r="J197" s="926">
        <f>IF(+J187&gt;J179,+J187-J179,0)</f>
        <v>41</v>
      </c>
      <c r="K197" s="896"/>
      <c r="L197" s="896"/>
      <c r="M197" s="982"/>
      <c r="N197" s="926">
        <f>IF(+N187&gt;N179,+N187-N179,0)</f>
        <v>0</v>
      </c>
      <c r="O197" s="982"/>
      <c r="P197" s="896"/>
      <c r="Q197" s="982"/>
      <c r="R197" s="926">
        <f>IF(+R187&gt;R179,+R187-R179,0)</f>
        <v>1</v>
      </c>
      <c r="S197" s="982"/>
      <c r="T197" s="896"/>
      <c r="U197" s="982"/>
      <c r="V197" s="926">
        <f>IF(+V187&gt;V179,+V187-V179,0)</f>
        <v>0</v>
      </c>
      <c r="W197" s="982"/>
      <c r="X197" s="896"/>
      <c r="Y197" s="982"/>
      <c r="Z197" s="926">
        <f>IF(+Z187&gt;Z179,+Z187-Z179,0)</f>
        <v>0</v>
      </c>
    </row>
    <row r="198" spans="1:26" ht="25.5">
      <c r="A198" s="390"/>
      <c r="B198" s="360" t="s">
        <v>8</v>
      </c>
      <c r="C198" s="922">
        <f t="shared" si="7"/>
        <v>270</v>
      </c>
      <c r="D198" s="896"/>
      <c r="E198" s="982"/>
      <c r="F198" s="924">
        <f>SUM(F199:F201)</f>
        <v>0</v>
      </c>
      <c r="G198" s="896"/>
      <c r="H198" s="896"/>
      <c r="I198" s="982"/>
      <c r="J198" s="924">
        <f>SUM(J199:J201)</f>
        <v>0</v>
      </c>
      <c r="K198" s="896"/>
      <c r="L198" s="896"/>
      <c r="M198" s="982"/>
      <c r="N198" s="924">
        <f>SUM(N199:N201)</f>
        <v>16807</v>
      </c>
      <c r="O198" s="982"/>
      <c r="P198" s="896"/>
      <c r="Q198" s="982"/>
      <c r="R198" s="924">
        <f>SUM(R199:R201)</f>
        <v>5139</v>
      </c>
      <c r="S198" s="982"/>
      <c r="T198" s="896"/>
      <c r="U198" s="982"/>
      <c r="V198" s="924">
        <f>SUM(V199:V201)</f>
        <v>3981</v>
      </c>
      <c r="W198" s="982"/>
      <c r="X198" s="896"/>
      <c r="Y198" s="982"/>
      <c r="Z198" s="924">
        <f>SUM(Z199:Z201)</f>
        <v>6</v>
      </c>
    </row>
    <row r="199" spans="1:26" ht="12.75">
      <c r="A199" s="390">
        <v>680</v>
      </c>
      <c r="B199" s="377" t="s">
        <v>1031</v>
      </c>
      <c r="C199" s="922">
        <f t="shared" si="7"/>
        <v>271</v>
      </c>
      <c r="D199" s="896"/>
      <c r="E199" s="982"/>
      <c r="F199" s="923"/>
      <c r="G199" s="896"/>
      <c r="H199" s="896"/>
      <c r="I199" s="982"/>
      <c r="J199" s="923"/>
      <c r="K199" s="896"/>
      <c r="L199" s="896"/>
      <c r="M199" s="982"/>
      <c r="N199" s="923">
        <v>14318</v>
      </c>
      <c r="O199" s="982"/>
      <c r="P199" s="896"/>
      <c r="Q199" s="982"/>
      <c r="R199" s="923">
        <v>4770</v>
      </c>
      <c r="S199" s="982"/>
      <c r="T199" s="896"/>
      <c r="U199" s="982"/>
      <c r="V199" s="923">
        <v>3971</v>
      </c>
      <c r="W199" s="982"/>
      <c r="X199" s="896"/>
      <c r="Y199" s="982"/>
      <c r="Z199" s="923"/>
    </row>
    <row r="200" spans="1:26" ht="12.75">
      <c r="A200" s="390">
        <v>681</v>
      </c>
      <c r="B200" s="377" t="s">
        <v>1032</v>
      </c>
      <c r="C200" s="922">
        <f t="shared" si="7"/>
        <v>272</v>
      </c>
      <c r="D200" s="896"/>
      <c r="E200" s="982"/>
      <c r="F200" s="923"/>
      <c r="G200" s="896"/>
      <c r="H200" s="896"/>
      <c r="I200" s="982"/>
      <c r="J200" s="923"/>
      <c r="K200" s="896"/>
      <c r="L200" s="896"/>
      <c r="M200" s="982"/>
      <c r="N200" s="923">
        <v>2489</v>
      </c>
      <c r="O200" s="982"/>
      <c r="P200" s="896"/>
      <c r="Q200" s="982"/>
      <c r="R200" s="923">
        <v>369</v>
      </c>
      <c r="S200" s="982"/>
      <c r="T200" s="896"/>
      <c r="U200" s="982"/>
      <c r="V200" s="923">
        <v>10</v>
      </c>
      <c r="W200" s="982"/>
      <c r="X200" s="896"/>
      <c r="Y200" s="982"/>
      <c r="Z200" s="923">
        <v>6</v>
      </c>
    </row>
    <row r="201" spans="1:26" ht="12.75">
      <c r="A201" s="390">
        <v>682</v>
      </c>
      <c r="B201" s="377" t="s">
        <v>1033</v>
      </c>
      <c r="C201" s="922">
        <f t="shared" si="7"/>
        <v>273</v>
      </c>
      <c r="D201" s="896"/>
      <c r="E201" s="982"/>
      <c r="F201" s="923"/>
      <c r="G201" s="896"/>
      <c r="H201" s="896"/>
      <c r="I201" s="982"/>
      <c r="J201" s="923"/>
      <c r="K201" s="896"/>
      <c r="L201" s="896"/>
      <c r="M201" s="982"/>
      <c r="N201" s="923">
        <v>0</v>
      </c>
      <c r="O201" s="982"/>
      <c r="P201" s="896"/>
      <c r="Q201" s="982"/>
      <c r="R201" s="923"/>
      <c r="S201" s="982"/>
      <c r="T201" s="896"/>
      <c r="U201" s="982"/>
      <c r="V201" s="923"/>
      <c r="W201" s="982"/>
      <c r="X201" s="896"/>
      <c r="Y201" s="982"/>
      <c r="Z201" s="923"/>
    </row>
    <row r="202" spans="1:26" ht="12.75">
      <c r="A202" s="390"/>
      <c r="B202" s="377" t="s">
        <v>1034</v>
      </c>
      <c r="C202" s="922">
        <f t="shared" si="7"/>
        <v>274</v>
      </c>
      <c r="D202" s="896"/>
      <c r="E202" s="982"/>
      <c r="F202" s="924">
        <f>SUM(F203:F205)</f>
        <v>0</v>
      </c>
      <c r="G202" s="896"/>
      <c r="H202" s="896"/>
      <c r="I202" s="982"/>
      <c r="J202" s="924">
        <f>SUM(J203:J205)</f>
        <v>0</v>
      </c>
      <c r="K202" s="896"/>
      <c r="L202" s="896"/>
      <c r="M202" s="982"/>
      <c r="N202" s="924">
        <f>SUM(N203:N205)</f>
        <v>20399</v>
      </c>
      <c r="O202" s="982"/>
      <c r="P202" s="896"/>
      <c r="Q202" s="982"/>
      <c r="R202" s="924">
        <f>SUM(R203:R205)</f>
        <v>6921</v>
      </c>
      <c r="S202" s="982"/>
      <c r="T202" s="896"/>
      <c r="U202" s="982"/>
      <c r="V202" s="924">
        <f>SUM(V203:V205)</f>
        <v>5659</v>
      </c>
      <c r="W202" s="982"/>
      <c r="X202" s="896"/>
      <c r="Y202" s="982"/>
      <c r="Z202" s="924">
        <f>SUM(Z203:Z205)</f>
        <v>0</v>
      </c>
    </row>
    <row r="203" spans="1:26" ht="12.75">
      <c r="A203" s="390">
        <v>580</v>
      </c>
      <c r="B203" s="377" t="s">
        <v>1035</v>
      </c>
      <c r="C203" s="922">
        <f t="shared" si="7"/>
        <v>275</v>
      </c>
      <c r="D203" s="896"/>
      <c r="E203" s="982"/>
      <c r="F203" s="923"/>
      <c r="G203" s="896"/>
      <c r="H203" s="896"/>
      <c r="I203" s="982"/>
      <c r="J203" s="923"/>
      <c r="K203" s="896"/>
      <c r="L203" s="896"/>
      <c r="M203" s="982"/>
      <c r="N203" s="923">
        <v>20399</v>
      </c>
      <c r="O203" s="982"/>
      <c r="P203" s="896"/>
      <c r="Q203" s="982"/>
      <c r="R203" s="923">
        <v>6921</v>
      </c>
      <c r="S203" s="982"/>
      <c r="T203" s="896"/>
      <c r="U203" s="982"/>
      <c r="V203" s="923">
        <v>5659</v>
      </c>
      <c r="W203" s="982"/>
      <c r="X203" s="896"/>
      <c r="Y203" s="982"/>
      <c r="Z203" s="923"/>
    </row>
    <row r="204" spans="1:26" ht="12.75">
      <c r="A204" s="390">
        <v>581</v>
      </c>
      <c r="B204" s="377" t="s">
        <v>1036</v>
      </c>
      <c r="C204" s="922">
        <f t="shared" si="7"/>
        <v>276</v>
      </c>
      <c r="D204" s="896"/>
      <c r="E204" s="982"/>
      <c r="F204" s="923"/>
      <c r="G204" s="896"/>
      <c r="H204" s="896"/>
      <c r="I204" s="982"/>
      <c r="J204" s="923"/>
      <c r="K204" s="896"/>
      <c r="L204" s="896"/>
      <c r="M204" s="982"/>
      <c r="N204" s="923"/>
      <c r="O204" s="982"/>
      <c r="P204" s="896"/>
      <c r="Q204" s="982"/>
      <c r="R204" s="923"/>
      <c r="S204" s="982"/>
      <c r="T204" s="896"/>
      <c r="U204" s="982"/>
      <c r="V204" s="923"/>
      <c r="W204" s="982"/>
      <c r="X204" s="896"/>
      <c r="Y204" s="982"/>
      <c r="Z204" s="923"/>
    </row>
    <row r="205" spans="1:26" ht="12.75">
      <c r="A205" s="390">
        <v>582</v>
      </c>
      <c r="B205" s="377" t="s">
        <v>1037</v>
      </c>
      <c r="C205" s="922">
        <f t="shared" si="7"/>
        <v>277</v>
      </c>
      <c r="D205" s="896"/>
      <c r="E205" s="982"/>
      <c r="F205" s="923"/>
      <c r="G205" s="896"/>
      <c r="H205" s="896"/>
      <c r="I205" s="982"/>
      <c r="J205" s="923"/>
      <c r="K205" s="896"/>
      <c r="L205" s="896"/>
      <c r="M205" s="982"/>
      <c r="N205" s="923"/>
      <c r="O205" s="982"/>
      <c r="P205" s="896"/>
      <c r="Q205" s="982"/>
      <c r="R205" s="923"/>
      <c r="S205" s="982"/>
      <c r="T205" s="896"/>
      <c r="U205" s="982"/>
      <c r="V205" s="923"/>
      <c r="W205" s="982"/>
      <c r="X205" s="896"/>
      <c r="Y205" s="982"/>
      <c r="Z205" s="923"/>
    </row>
    <row r="206" spans="1:26" ht="12.75">
      <c r="A206" s="390">
        <v>519</v>
      </c>
      <c r="B206" s="377" t="s">
        <v>1038</v>
      </c>
      <c r="C206" s="922">
        <f t="shared" si="7"/>
        <v>278</v>
      </c>
      <c r="D206" s="896"/>
      <c r="E206" s="982"/>
      <c r="F206" s="923"/>
      <c r="G206" s="896"/>
      <c r="H206" s="896"/>
      <c r="I206" s="982"/>
      <c r="J206" s="923">
        <f>+J198-J202</f>
        <v>0</v>
      </c>
      <c r="K206" s="896"/>
      <c r="L206" s="896"/>
      <c r="M206" s="982"/>
      <c r="N206" s="923">
        <f>IF(N198&gt;N202,N198-N202,0)</f>
        <v>0</v>
      </c>
      <c r="O206" s="982"/>
      <c r="P206" s="896"/>
      <c r="Q206" s="982"/>
      <c r="R206" s="923"/>
      <c r="S206" s="982"/>
      <c r="T206" s="896"/>
      <c r="U206" s="982"/>
      <c r="V206" s="923">
        <f>IF(V198&gt;V202,V198-V202,0)</f>
        <v>0</v>
      </c>
      <c r="W206" s="982"/>
      <c r="X206" s="896"/>
      <c r="Y206" s="982"/>
      <c r="Z206" s="923">
        <f>IF(Z198&gt;Z202,Z198-Z202,0)</f>
        <v>6</v>
      </c>
    </row>
    <row r="207" spans="1:26" ht="12.75">
      <c r="A207" s="390"/>
      <c r="B207" s="377" t="s">
        <v>1039</v>
      </c>
      <c r="C207" s="922">
        <f t="shared" si="7"/>
        <v>279</v>
      </c>
      <c r="D207" s="896"/>
      <c r="E207" s="982"/>
      <c r="F207" s="923"/>
      <c r="G207" s="896"/>
      <c r="H207" s="896"/>
      <c r="I207" s="982"/>
      <c r="J207" s="923">
        <f>+J202-J198</f>
        <v>0</v>
      </c>
      <c r="K207" s="896"/>
      <c r="L207" s="896"/>
      <c r="M207" s="982"/>
      <c r="N207" s="923">
        <f>IF(N202&gt;N198,N202-N198,0)</f>
        <v>3592</v>
      </c>
      <c r="O207" s="982"/>
      <c r="P207" s="896"/>
      <c r="Q207" s="982"/>
      <c r="R207" s="923">
        <f>IF(R202&gt;R198,R202-R198,0)</f>
        <v>1782</v>
      </c>
      <c r="S207" s="982"/>
      <c r="T207" s="896"/>
      <c r="U207" s="982"/>
      <c r="V207" s="923">
        <f>IF(V202&gt;V198,V202-V198,0)</f>
        <v>1678</v>
      </c>
      <c r="W207" s="982"/>
      <c r="X207" s="896"/>
      <c r="Y207" s="982"/>
      <c r="Z207" s="923">
        <f>IF(Z202&gt;Z198,Z202-Z198,0)</f>
        <v>0</v>
      </c>
    </row>
    <row r="208" spans="1:26" ht="25.5">
      <c r="A208" s="390"/>
      <c r="B208" s="360" t="s">
        <v>9</v>
      </c>
      <c r="C208" s="922">
        <f t="shared" si="7"/>
        <v>280</v>
      </c>
      <c r="D208" s="896"/>
      <c r="E208" s="982"/>
      <c r="F208" s="924">
        <f>+F164+F177+F196+F206</f>
        <v>2609</v>
      </c>
      <c r="G208" s="896"/>
      <c r="H208" s="896"/>
      <c r="I208" s="982"/>
      <c r="J208" s="924">
        <f>+J164+J177+J196+J206</f>
        <v>0</v>
      </c>
      <c r="K208" s="896"/>
      <c r="L208" s="896"/>
      <c r="M208" s="982"/>
      <c r="N208" s="924">
        <f>+N164+N177+N196+N206</f>
        <v>451</v>
      </c>
      <c r="O208" s="982"/>
      <c r="P208" s="896"/>
      <c r="Q208" s="982"/>
      <c r="R208" s="924">
        <f>+R164+R177+R196+R206</f>
        <v>22</v>
      </c>
      <c r="S208" s="982"/>
      <c r="T208" s="896"/>
      <c r="U208" s="982"/>
      <c r="V208" s="924">
        <f>+V164+V177+V196+V206</f>
        <v>57</v>
      </c>
      <c r="W208" s="982"/>
      <c r="X208" s="896"/>
      <c r="Y208" s="982"/>
      <c r="Z208" s="924">
        <f>+Z164+Z177+Z196+Z206</f>
        <v>539</v>
      </c>
    </row>
    <row r="209" spans="1:26" ht="28.5" customHeight="1">
      <c r="A209" s="390"/>
      <c r="B209" s="377" t="s">
        <v>1040</v>
      </c>
      <c r="C209" s="922">
        <f t="shared" si="7"/>
        <v>281</v>
      </c>
      <c r="D209" s="896"/>
      <c r="E209" s="982"/>
      <c r="F209" s="924">
        <f>+F165+F178+F197+F207</f>
        <v>1917</v>
      </c>
      <c r="G209" s="896"/>
      <c r="H209" s="896"/>
      <c r="I209" s="982"/>
      <c r="J209" s="924">
        <f>+J165+J178+J197+J207</f>
        <v>4222</v>
      </c>
      <c r="K209" s="896"/>
      <c r="L209" s="896"/>
      <c r="M209" s="982"/>
      <c r="N209" s="924">
        <f>+N165+N178+N197+N207</f>
        <v>3620</v>
      </c>
      <c r="O209" s="982"/>
      <c r="P209" s="896"/>
      <c r="Q209" s="982"/>
      <c r="R209" s="924">
        <f>+R165+R178+R197+R207</f>
        <v>2752</v>
      </c>
      <c r="S209" s="982"/>
      <c r="T209" s="896"/>
      <c r="U209" s="982"/>
      <c r="V209" s="924">
        <f>+V165+V178+V197+V207</f>
        <v>1817</v>
      </c>
      <c r="W209" s="982"/>
      <c r="X209" s="896"/>
      <c r="Y209" s="982"/>
      <c r="Z209" s="924">
        <f>+Z165+Z178+Z197+Z207</f>
        <v>63</v>
      </c>
    </row>
    <row r="210" spans="1:26" ht="25.5">
      <c r="A210" s="390"/>
      <c r="B210" s="360" t="s">
        <v>10</v>
      </c>
      <c r="C210" s="922">
        <f t="shared" si="7"/>
        <v>282</v>
      </c>
      <c r="D210" s="896"/>
      <c r="E210" s="982"/>
      <c r="F210" s="924">
        <f>+IF(F208&gt;F209,+F208-F209,0)</f>
        <v>692</v>
      </c>
      <c r="G210" s="896"/>
      <c r="H210" s="896"/>
      <c r="I210" s="982"/>
      <c r="J210" s="924">
        <f>+IF(J208&gt;J209,J208-J209,0)</f>
        <v>0</v>
      </c>
      <c r="K210" s="896"/>
      <c r="L210" s="896"/>
      <c r="M210" s="982"/>
      <c r="N210" s="924">
        <f>+IF(N208&gt;N209,N208-N209,0)</f>
        <v>0</v>
      </c>
      <c r="O210" s="982"/>
      <c r="P210" s="896"/>
      <c r="Q210" s="982"/>
      <c r="R210" s="924">
        <f>+IF(R208&gt;R209,R208-R209,0)</f>
        <v>0</v>
      </c>
      <c r="S210" s="982"/>
      <c r="T210" s="896"/>
      <c r="U210" s="982"/>
      <c r="V210" s="924">
        <f>+IF(V208&gt;V209,V208-V209,0)</f>
        <v>0</v>
      </c>
      <c r="W210" s="982"/>
      <c r="X210" s="896"/>
      <c r="Y210" s="982"/>
      <c r="Z210" s="924">
        <f>+IF(Z208&gt;Z209,Z208-Z209,0)</f>
        <v>476</v>
      </c>
    </row>
    <row r="211" spans="1:26" ht="12.75">
      <c r="A211" s="390"/>
      <c r="B211" s="377" t="s">
        <v>1041</v>
      </c>
      <c r="C211" s="922">
        <f t="shared" si="7"/>
        <v>283</v>
      </c>
      <c r="D211" s="927"/>
      <c r="E211" s="982"/>
      <c r="F211" s="924">
        <f>IF(F209&gt;F208,F209-F208,0)</f>
        <v>0</v>
      </c>
      <c r="G211" s="927"/>
      <c r="H211" s="927"/>
      <c r="I211" s="982"/>
      <c r="J211" s="924">
        <f>IF(J209&gt;J208,J209-J208,0)</f>
        <v>4222</v>
      </c>
      <c r="K211" s="927"/>
      <c r="L211" s="927"/>
      <c r="M211" s="982"/>
      <c r="N211" s="924">
        <f>IF(N209&gt;N208,N209-N208,0)</f>
        <v>3169</v>
      </c>
      <c r="O211" s="982"/>
      <c r="P211" s="927"/>
      <c r="Q211" s="982"/>
      <c r="R211" s="924">
        <f>IF(R209&gt;R208,R209-R208,0)</f>
        <v>2730</v>
      </c>
      <c r="S211" s="982"/>
      <c r="T211" s="927"/>
      <c r="U211" s="982"/>
      <c r="V211" s="924">
        <f>IF(V209&gt;V208,V209-V208,0)</f>
        <v>1760</v>
      </c>
      <c r="W211" s="982"/>
      <c r="X211" s="927"/>
      <c r="Y211" s="982"/>
      <c r="Z211" s="924">
        <f>IF(Z209&gt;Z208,Z209-Z208,0)</f>
        <v>0</v>
      </c>
    </row>
    <row r="212" spans="1:26" ht="12.75">
      <c r="A212" s="390">
        <v>721</v>
      </c>
      <c r="B212" s="377" t="s">
        <v>1042</v>
      </c>
      <c r="C212" s="922">
        <f t="shared" si="7"/>
        <v>284</v>
      </c>
      <c r="D212" s="927"/>
      <c r="E212" s="982"/>
      <c r="F212" s="923"/>
      <c r="G212" s="927"/>
      <c r="H212" s="927"/>
      <c r="I212" s="982"/>
      <c r="J212" s="923"/>
      <c r="K212" s="927"/>
      <c r="L212" s="927"/>
      <c r="M212" s="982"/>
      <c r="N212" s="923"/>
      <c r="O212" s="982"/>
      <c r="P212" s="927"/>
      <c r="Q212" s="982"/>
      <c r="R212" s="923"/>
      <c r="S212" s="982"/>
      <c r="T212" s="927"/>
      <c r="U212" s="982"/>
      <c r="V212" s="923"/>
      <c r="W212" s="982"/>
      <c r="X212" s="927"/>
      <c r="Y212" s="982"/>
      <c r="Z212" s="923"/>
    </row>
    <row r="213" spans="1:26" ht="25.5">
      <c r="A213" s="390"/>
      <c r="B213" s="360" t="s">
        <v>11</v>
      </c>
      <c r="C213" s="922">
        <f t="shared" si="7"/>
        <v>285</v>
      </c>
      <c r="D213" s="927"/>
      <c r="E213" s="982"/>
      <c r="F213" s="924">
        <f>IF(F210&gt;F212,F210-F212,0)</f>
        <v>692</v>
      </c>
      <c r="G213" s="927"/>
      <c r="H213" s="927"/>
      <c r="I213" s="982"/>
      <c r="J213" s="924">
        <f>IF(J210&gt;J212,J210-J212,0)</f>
        <v>0</v>
      </c>
      <c r="K213" s="927"/>
      <c r="L213" s="927"/>
      <c r="M213" s="982"/>
      <c r="N213" s="924">
        <f>IF(N210&gt;N212,N210-N212,0)</f>
        <v>0</v>
      </c>
      <c r="O213" s="982"/>
      <c r="P213" s="927"/>
      <c r="Q213" s="982"/>
      <c r="R213" s="924">
        <f>IF(R210&gt;R212,R210-R212,0)</f>
        <v>0</v>
      </c>
      <c r="S213" s="982"/>
      <c r="T213" s="927"/>
      <c r="U213" s="982"/>
      <c r="V213" s="924">
        <f>IF(V210&gt;V212,V210-V212,0)</f>
        <v>0</v>
      </c>
      <c r="W213" s="982"/>
      <c r="X213" s="927"/>
      <c r="Y213" s="982"/>
      <c r="Z213" s="924">
        <f>IF(Z210&gt;Z212,Z210-Z212,0)</f>
        <v>476</v>
      </c>
    </row>
    <row r="214" spans="1:26" ht="12.75">
      <c r="A214" s="396"/>
      <c r="B214" s="397" t="s">
        <v>1043</v>
      </c>
      <c r="C214" s="922">
        <f t="shared" si="7"/>
        <v>286</v>
      </c>
      <c r="D214" s="927"/>
      <c r="E214" s="927"/>
      <c r="F214" s="924">
        <f>IF(F211&gt;F212,F211+F212,0)</f>
        <v>0</v>
      </c>
      <c r="G214" s="927"/>
      <c r="H214" s="927"/>
      <c r="I214" s="927"/>
      <c r="J214" s="924">
        <f>IF(J211&gt;J212,J211+J212,0)</f>
        <v>4222</v>
      </c>
      <c r="K214" s="927"/>
      <c r="L214" s="927"/>
      <c r="M214" s="927"/>
      <c r="N214" s="924">
        <f>IF(N211&gt;N212,N211+N212,0)</f>
        <v>3169</v>
      </c>
      <c r="O214" s="982"/>
      <c r="P214" s="927"/>
      <c r="Q214" s="927"/>
      <c r="R214" s="924">
        <f>IF(R211&gt;R212,R211+R212,0)</f>
        <v>2730</v>
      </c>
      <c r="S214" s="982"/>
      <c r="T214" s="927"/>
      <c r="U214" s="927"/>
      <c r="V214" s="924">
        <f>IF(V211&gt;V212,V211+V212,0)</f>
        <v>1760</v>
      </c>
      <c r="W214" s="982"/>
      <c r="X214" s="927"/>
      <c r="Y214" s="927"/>
      <c r="Z214" s="924">
        <f>IF(Z211&gt;Z212,Z211+Z212,0)</f>
        <v>0</v>
      </c>
    </row>
    <row r="215" spans="1:26" ht="12.75">
      <c r="A215" s="396"/>
      <c r="B215" s="397" t="s">
        <v>1044</v>
      </c>
      <c r="C215" s="922">
        <f t="shared" si="7"/>
        <v>287</v>
      </c>
      <c r="D215" s="927"/>
      <c r="E215" s="927"/>
      <c r="F215" s="924">
        <f>IF(F212&gt;F210,F212-F210,0)</f>
        <v>0</v>
      </c>
      <c r="G215" s="927"/>
      <c r="H215" s="927"/>
      <c r="I215" s="927"/>
      <c r="J215" s="924">
        <f>IF(J212&gt;J210,J212-J210,0)</f>
        <v>0</v>
      </c>
      <c r="K215" s="927"/>
      <c r="L215" s="927"/>
      <c r="M215" s="927"/>
      <c r="N215" s="924">
        <f>IF(N212&gt;N210,N212-N210,0)</f>
        <v>0</v>
      </c>
      <c r="O215" s="982"/>
      <c r="P215" s="927"/>
      <c r="Q215" s="927"/>
      <c r="R215" s="924">
        <f>IF(R212&gt;R210,R212-R210,0)</f>
        <v>0</v>
      </c>
      <c r="S215" s="982"/>
      <c r="T215" s="927"/>
      <c r="U215" s="927"/>
      <c r="V215" s="924">
        <f>IF(V212&gt;V210,V212-V210,0)</f>
        <v>0</v>
      </c>
      <c r="W215" s="982"/>
      <c r="X215" s="927"/>
      <c r="Y215" s="927"/>
      <c r="Z215" s="924">
        <f>IF(Z212&gt;Z210,Z212-Z210,0)</f>
        <v>0</v>
      </c>
    </row>
    <row r="216" spans="1:26" ht="12.75">
      <c r="A216" s="396"/>
      <c r="B216" s="397" t="s">
        <v>1045</v>
      </c>
      <c r="C216" s="922">
        <f t="shared" si="7"/>
        <v>288</v>
      </c>
      <c r="D216" s="927"/>
      <c r="E216" s="927"/>
      <c r="F216" s="928">
        <f>+F143+F166+F179+F198</f>
        <v>100916</v>
      </c>
      <c r="G216" s="927"/>
      <c r="H216" s="927"/>
      <c r="I216" s="927"/>
      <c r="J216" s="928">
        <f>+J143+J166+J179+J198</f>
        <v>44319</v>
      </c>
      <c r="K216" s="927"/>
      <c r="L216" s="927"/>
      <c r="M216" s="927"/>
      <c r="N216" s="928">
        <f>+N143+N166+N179+N198</f>
        <v>42172</v>
      </c>
      <c r="O216" s="982"/>
      <c r="P216" s="927"/>
      <c r="Q216" s="927"/>
      <c r="R216" s="928">
        <f>+R143+R166+R179+R198</f>
        <v>15130</v>
      </c>
      <c r="S216" s="982"/>
      <c r="T216" s="927"/>
      <c r="U216" s="927"/>
      <c r="V216" s="928">
        <f>+V143+V166+V179+V198</f>
        <v>14323</v>
      </c>
      <c r="W216" s="982"/>
      <c r="X216" s="927"/>
      <c r="Y216" s="927"/>
      <c r="Z216" s="928">
        <f>+Z143+Z166+Z179+Z198</f>
        <v>7469</v>
      </c>
    </row>
    <row r="217" spans="1:26" ht="13.5" thickBot="1">
      <c r="A217" s="398"/>
      <c r="B217" s="399" t="s">
        <v>1046</v>
      </c>
      <c r="C217" s="922">
        <f t="shared" si="7"/>
        <v>289</v>
      </c>
      <c r="D217" s="927"/>
      <c r="E217" s="927"/>
      <c r="F217" s="929">
        <f>+F144+F145+F150+F171+F187+F202</f>
        <v>100224</v>
      </c>
      <c r="G217" s="927"/>
      <c r="H217" s="927"/>
      <c r="I217" s="927"/>
      <c r="J217" s="929">
        <f>+J144+J145+J150+J171+J187+J202</f>
        <v>48541</v>
      </c>
      <c r="K217" s="927"/>
      <c r="L217" s="927"/>
      <c r="M217" s="927"/>
      <c r="N217" s="929">
        <f>+N144+N145+N150+N171+N187+N202</f>
        <v>45341</v>
      </c>
      <c r="O217" s="982"/>
      <c r="P217" s="927"/>
      <c r="Q217" s="927"/>
      <c r="R217" s="929">
        <f>+R144+R145+R150+R171+R187+R202</f>
        <v>17860</v>
      </c>
      <c r="S217" s="982"/>
      <c r="T217" s="927"/>
      <c r="U217" s="927"/>
      <c r="V217" s="929">
        <f>+V144+V145+V150+V171+V187+V202</f>
        <v>16083</v>
      </c>
      <c r="W217" s="982"/>
      <c r="X217" s="927"/>
      <c r="Y217" s="927"/>
      <c r="Z217" s="929">
        <f>+Z144+Z145+Z150+Z171+Z187+Z202</f>
        <v>6993</v>
      </c>
    </row>
    <row r="218" ht="13.5" thickTop="1"/>
    <row r="220" spans="1:11" ht="12.75">
      <c r="A220"/>
      <c r="B220"/>
      <c r="C220"/>
      <c r="D220" s="400"/>
      <c r="E220" s="400"/>
      <c r="F220" s="400"/>
      <c r="G220" s="400"/>
      <c r="H220" s="400"/>
      <c r="I220" s="400"/>
      <c r="J220" s="400"/>
      <c r="K220" s="400"/>
    </row>
    <row r="221" spans="1:11" ht="12.75">
      <c r="A221"/>
      <c r="B221"/>
      <c r="C221"/>
      <c r="D221" s="400"/>
      <c r="E221" s="400"/>
      <c r="F221" s="400"/>
      <c r="G221" s="400"/>
      <c r="H221" s="400"/>
      <c r="I221" s="400"/>
      <c r="J221" s="400"/>
      <c r="K221" s="400"/>
    </row>
    <row r="222" spans="1:11" ht="12.75">
      <c r="A222"/>
      <c r="B222"/>
      <c r="C222"/>
      <c r="D222" s="400"/>
      <c r="E222" s="400"/>
      <c r="F222" s="400"/>
      <c r="G222" s="400"/>
      <c r="H222" s="400"/>
      <c r="I222" s="400"/>
      <c r="J222" s="400"/>
      <c r="K222" s="400"/>
    </row>
    <row r="223" spans="1:89" ht="12.75">
      <c r="A223"/>
      <c r="B223" t="s">
        <v>764</v>
      </c>
      <c r="C223">
        <v>1.2</v>
      </c>
      <c r="D223" s="400">
        <v>1.45</v>
      </c>
      <c r="E223" s="400">
        <v>2.2</v>
      </c>
      <c r="F223" s="400">
        <v>1.15</v>
      </c>
      <c r="G223" s="400">
        <v>2.3</v>
      </c>
      <c r="H223" s="400"/>
      <c r="I223" s="400"/>
      <c r="J223" s="400"/>
      <c r="K223" s="400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6"/>
      <c r="BQ223" s="166"/>
      <c r="BR223" s="166"/>
      <c r="BS223" s="166"/>
      <c r="BT223" s="166"/>
      <c r="BU223" s="166"/>
      <c r="BV223" s="166"/>
      <c r="BW223" s="166"/>
      <c r="BX223" s="166"/>
      <c r="BY223" s="166"/>
      <c r="BZ223" s="166"/>
      <c r="CA223" s="166"/>
      <c r="CB223" s="166"/>
      <c r="CC223" s="166"/>
      <c r="CD223" s="166"/>
      <c r="CE223" s="166"/>
      <c r="CF223" s="166"/>
      <c r="CG223" s="166"/>
      <c r="CH223" s="166"/>
      <c r="CI223" s="166"/>
      <c r="CJ223" s="166"/>
      <c r="CK223" s="166"/>
    </row>
    <row r="224" spans="1:11" ht="12.75">
      <c r="A224"/>
      <c r="B224"/>
      <c r="C224"/>
      <c r="D224" s="400"/>
      <c r="E224" s="400"/>
      <c r="F224" s="400"/>
      <c r="G224" s="400"/>
      <c r="H224" s="400"/>
      <c r="I224" s="400"/>
      <c r="J224" s="400"/>
      <c r="K224" s="400"/>
    </row>
    <row r="225" spans="1:11" ht="12.75">
      <c r="A225"/>
      <c r="B225"/>
      <c r="C225"/>
      <c r="D225" s="400"/>
      <c r="E225" s="400"/>
      <c r="F225" s="400"/>
      <c r="G225" s="400"/>
      <c r="H225" s="400"/>
      <c r="I225" s="400"/>
      <c r="J225" s="400"/>
      <c r="K225" s="400"/>
    </row>
    <row r="226" spans="1:11" ht="12.75">
      <c r="A226"/>
      <c r="B226"/>
      <c r="C226"/>
      <c r="D226" s="400"/>
      <c r="E226" s="400"/>
      <c r="F226" s="400"/>
      <c r="G226" s="400"/>
      <c r="H226" s="400"/>
      <c r="I226" s="400"/>
      <c r="J226" s="400"/>
      <c r="K226" s="400"/>
    </row>
    <row r="227" spans="1:11" ht="12.75">
      <c r="A227"/>
      <c r="B227"/>
      <c r="C227"/>
      <c r="D227" s="400"/>
      <c r="E227" s="400"/>
      <c r="F227" s="400"/>
      <c r="G227" s="400"/>
      <c r="H227" s="400"/>
      <c r="I227" s="400"/>
      <c r="J227" s="400"/>
      <c r="K227" s="400"/>
    </row>
    <row r="228" spans="1:11" ht="12.75">
      <c r="A228"/>
      <c r="B228"/>
      <c r="C228"/>
      <c r="D228" s="400"/>
      <c r="E228" s="400"/>
      <c r="F228" s="400"/>
      <c r="G228" s="400"/>
      <c r="H228" s="400"/>
      <c r="I228" s="400"/>
      <c r="J228" s="400"/>
      <c r="K228" s="400"/>
    </row>
    <row r="229" spans="1:11" ht="12.75">
      <c r="A229"/>
      <c r="B229"/>
      <c r="C229"/>
      <c r="D229" s="400"/>
      <c r="E229" s="400"/>
      <c r="F229" s="400"/>
      <c r="G229" s="400"/>
      <c r="H229" s="400"/>
      <c r="I229" s="400"/>
      <c r="J229" s="400"/>
      <c r="K229" s="400"/>
    </row>
    <row r="230" spans="1:11" ht="12.75">
      <c r="A230"/>
      <c r="B230"/>
      <c r="C230"/>
      <c r="D230" s="400"/>
      <c r="E230" s="400"/>
      <c r="F230" s="400"/>
      <c r="G230" s="400"/>
      <c r="H230" s="400"/>
      <c r="I230" s="400"/>
      <c r="J230" s="400"/>
      <c r="K230" s="400"/>
    </row>
    <row r="231" spans="1:11" ht="12.75">
      <c r="A231"/>
      <c r="B231"/>
      <c r="C231"/>
      <c r="D231" s="400"/>
      <c r="E231" s="400"/>
      <c r="F231" s="400"/>
      <c r="G231" s="400"/>
      <c r="H231" s="400"/>
      <c r="I231" s="400"/>
      <c r="J231" s="400"/>
      <c r="K231" s="400"/>
    </row>
    <row r="232" spans="1:11" ht="12.75">
      <c r="A232"/>
      <c r="B232"/>
      <c r="C232"/>
      <c r="D232" s="400"/>
      <c r="E232" s="400"/>
      <c r="F232" s="400"/>
      <c r="G232" s="400"/>
      <c r="H232" s="400"/>
      <c r="I232" s="400"/>
      <c r="J232" s="400"/>
      <c r="K232" s="400"/>
    </row>
    <row r="233" spans="1:11" ht="12.75">
      <c r="A233"/>
      <c r="B233"/>
      <c r="C233"/>
      <c r="D233" s="400"/>
      <c r="E233" s="400"/>
      <c r="F233" s="400"/>
      <c r="G233" s="400"/>
      <c r="H233" s="400"/>
      <c r="I233" s="400"/>
      <c r="J233" s="400"/>
      <c r="K233" s="400"/>
    </row>
    <row r="234" spans="1:11" ht="12.75">
      <c r="A234"/>
      <c r="B234"/>
      <c r="C234"/>
      <c r="D234" s="400"/>
      <c r="E234" s="400"/>
      <c r="F234" s="400"/>
      <c r="G234" s="400"/>
      <c r="H234" s="400"/>
      <c r="I234" s="400"/>
      <c r="J234" s="400"/>
      <c r="K234" s="400"/>
    </row>
    <row r="235" spans="1:11" ht="12.75">
      <c r="A235"/>
      <c r="B235"/>
      <c r="C235"/>
      <c r="D235" s="400"/>
      <c r="E235" s="400"/>
      <c r="F235" s="400"/>
      <c r="G235" s="400"/>
      <c r="H235" s="400"/>
      <c r="I235" s="400"/>
      <c r="J235" s="400"/>
      <c r="K235" s="400"/>
    </row>
    <row r="236" spans="1:11" ht="12.75">
      <c r="A236"/>
      <c r="B236"/>
      <c r="C236"/>
      <c r="D236" s="400"/>
      <c r="E236" s="400"/>
      <c r="F236" s="400"/>
      <c r="G236" s="400"/>
      <c r="H236" s="400"/>
      <c r="I236" s="400"/>
      <c r="J236" s="400"/>
      <c r="K236" s="400"/>
    </row>
    <row r="237" spans="1:11" ht="12.75">
      <c r="A237"/>
      <c r="B237"/>
      <c r="C237"/>
      <c r="D237" s="400"/>
      <c r="E237" s="400"/>
      <c r="F237" s="400"/>
      <c r="G237" s="400"/>
      <c r="H237" s="400"/>
      <c r="I237" s="400"/>
      <c r="J237" s="400"/>
      <c r="K237" s="400"/>
    </row>
    <row r="238" spans="1:11" ht="12.75">
      <c r="A238"/>
      <c r="B238"/>
      <c r="C238"/>
      <c r="D238" s="400"/>
      <c r="E238" s="400"/>
      <c r="F238" s="400"/>
      <c r="G238" s="400"/>
      <c r="H238" s="400"/>
      <c r="I238" s="400"/>
      <c r="J238" s="400"/>
      <c r="K238" s="400"/>
    </row>
    <row r="239" spans="1:11" ht="12.75">
      <c r="A239"/>
      <c r="B239"/>
      <c r="C239"/>
      <c r="D239" s="400"/>
      <c r="E239" s="400"/>
      <c r="F239" s="400"/>
      <c r="G239" s="400"/>
      <c r="H239" s="400"/>
      <c r="I239" s="400"/>
      <c r="J239" s="400"/>
      <c r="K239" s="400"/>
    </row>
    <row r="240" spans="1:11" ht="12.75">
      <c r="A240"/>
      <c r="B240"/>
      <c r="C240"/>
      <c r="D240" s="400"/>
      <c r="E240" s="400"/>
      <c r="F240" s="400"/>
      <c r="G240" s="400"/>
      <c r="H240" s="400"/>
      <c r="I240" s="400"/>
      <c r="J240" s="400"/>
      <c r="K240" s="400"/>
    </row>
    <row r="241" spans="1:11" ht="12.75">
      <c r="A241"/>
      <c r="B241"/>
      <c r="C241"/>
      <c r="D241" s="400"/>
      <c r="E241" s="400"/>
      <c r="F241" s="400"/>
      <c r="G241" s="400"/>
      <c r="H241" s="400"/>
      <c r="I241" s="400"/>
      <c r="J241" s="400"/>
      <c r="K241" s="400"/>
    </row>
    <row r="242" spans="1:11" ht="12.75">
      <c r="A242"/>
      <c r="B242"/>
      <c r="C242"/>
      <c r="D242" s="400"/>
      <c r="E242" s="400"/>
      <c r="F242" s="400"/>
      <c r="G242" s="400"/>
      <c r="H242" s="400"/>
      <c r="I242" s="400"/>
      <c r="J242" s="400"/>
      <c r="K242" s="400"/>
    </row>
    <row r="243" spans="1:11" ht="12.75">
      <c r="A243"/>
      <c r="B243"/>
      <c r="C243"/>
      <c r="D243" s="400"/>
      <c r="E243" s="400"/>
      <c r="F243" s="400"/>
      <c r="G243" s="400"/>
      <c r="H243" s="400"/>
      <c r="I243" s="400"/>
      <c r="J243" s="400"/>
      <c r="K243" s="400"/>
    </row>
    <row r="244" spans="1:11" ht="12.75">
      <c r="A244"/>
      <c r="B244"/>
      <c r="C244"/>
      <c r="D244" s="400"/>
      <c r="E244" s="400"/>
      <c r="F244" s="400"/>
      <c r="G244" s="400"/>
      <c r="H244" s="400"/>
      <c r="I244" s="400"/>
      <c r="J244" s="400"/>
      <c r="K244" s="400"/>
    </row>
    <row r="245" spans="1:11" ht="12.75">
      <c r="A245"/>
      <c r="B245"/>
      <c r="C245"/>
      <c r="D245" s="400"/>
      <c r="E245" s="400"/>
      <c r="F245" s="400"/>
      <c r="G245" s="400"/>
      <c r="H245" s="400"/>
      <c r="I245" s="400"/>
      <c r="J245" s="400"/>
      <c r="K245" s="400"/>
    </row>
    <row r="246" spans="1:11" ht="12.75">
      <c r="A246"/>
      <c r="B246"/>
      <c r="C246"/>
      <c r="D246" s="400"/>
      <c r="E246" s="400"/>
      <c r="F246" s="400"/>
      <c r="G246" s="400"/>
      <c r="H246" s="400"/>
      <c r="I246" s="400"/>
      <c r="J246" s="400"/>
      <c r="K246" s="400"/>
    </row>
    <row r="247" spans="1:11" ht="12.75">
      <c r="A247"/>
      <c r="B247"/>
      <c r="C247"/>
      <c r="D247" s="400"/>
      <c r="E247" s="400"/>
      <c r="F247" s="400"/>
      <c r="G247" s="400"/>
      <c r="H247" s="400"/>
      <c r="I247" s="400"/>
      <c r="J247" s="400"/>
      <c r="K247" s="400"/>
    </row>
    <row r="248" spans="1:11" ht="12.75">
      <c r="A248"/>
      <c r="B248"/>
      <c r="C248"/>
      <c r="D248" s="400"/>
      <c r="E248" s="400"/>
      <c r="F248" s="400"/>
      <c r="G248" s="400"/>
      <c r="H248" s="400"/>
      <c r="I248" s="400"/>
      <c r="J248" s="400"/>
      <c r="K248" s="400"/>
    </row>
    <row r="249" spans="1:11" ht="12.75">
      <c r="A249"/>
      <c r="B249"/>
      <c r="C249"/>
      <c r="D249" s="400"/>
      <c r="E249" s="400"/>
      <c r="F249" s="400"/>
      <c r="G249" s="400"/>
      <c r="H249" s="400"/>
      <c r="I249" s="400"/>
      <c r="J249" s="400"/>
      <c r="K249" s="400"/>
    </row>
    <row r="250" spans="1:11" ht="12.75">
      <c r="A250"/>
      <c r="B250"/>
      <c r="C250"/>
      <c r="D250" s="400"/>
      <c r="E250" s="400"/>
      <c r="F250" s="400"/>
      <c r="G250" s="400"/>
      <c r="H250" s="400"/>
      <c r="I250" s="400"/>
      <c r="J250" s="400"/>
      <c r="K250" s="400"/>
    </row>
    <row r="251" spans="1:11" ht="12.75">
      <c r="A251"/>
      <c r="B251"/>
      <c r="C251"/>
      <c r="D251" s="400"/>
      <c r="E251" s="400"/>
      <c r="F251" s="400"/>
      <c r="G251" s="400"/>
      <c r="H251" s="400"/>
      <c r="I251" s="400"/>
      <c r="J251" s="400"/>
      <c r="K251" s="400"/>
    </row>
    <row r="252" spans="1:11" ht="12.75">
      <c r="A252"/>
      <c r="B252"/>
      <c r="C252"/>
      <c r="D252" s="400"/>
      <c r="E252" s="400"/>
      <c r="F252" s="400"/>
      <c r="G252" s="400"/>
      <c r="H252" s="400"/>
      <c r="I252" s="400"/>
      <c r="J252" s="400"/>
      <c r="K252" s="400"/>
    </row>
    <row r="253" spans="1:11" ht="12.75">
      <c r="A253"/>
      <c r="B253"/>
      <c r="C253"/>
      <c r="D253" s="400"/>
      <c r="E253" s="400"/>
      <c r="F253" s="400"/>
      <c r="G253" s="400"/>
      <c r="H253" s="400"/>
      <c r="I253" s="400"/>
      <c r="J253" s="400"/>
      <c r="K253" s="400"/>
    </row>
    <row r="254" spans="1:11" ht="12.75">
      <c r="A254"/>
      <c r="B254"/>
      <c r="C254"/>
      <c r="D254" s="400"/>
      <c r="E254" s="400"/>
      <c r="F254" s="400"/>
      <c r="G254" s="400"/>
      <c r="H254" s="400"/>
      <c r="I254" s="400"/>
      <c r="J254" s="400"/>
      <c r="K254" s="400"/>
    </row>
    <row r="255" spans="1:11" ht="12.75">
      <c r="A255"/>
      <c r="B255"/>
      <c r="C255"/>
      <c r="D255" s="400"/>
      <c r="E255" s="400"/>
      <c r="F255" s="400"/>
      <c r="G255" s="400"/>
      <c r="H255" s="400"/>
      <c r="I255" s="400"/>
      <c r="J255" s="400"/>
      <c r="K255" s="400"/>
    </row>
    <row r="256" spans="1:11" ht="12.75">
      <c r="A256"/>
      <c r="B256"/>
      <c r="C256"/>
      <c r="D256" s="400"/>
      <c r="E256" s="400"/>
      <c r="F256" s="400"/>
      <c r="G256" s="400"/>
      <c r="H256" s="400"/>
      <c r="I256" s="400"/>
      <c r="J256" s="400"/>
      <c r="K256" s="400"/>
    </row>
    <row r="257" spans="1:11" ht="12.75">
      <c r="A257"/>
      <c r="B257"/>
      <c r="C257"/>
      <c r="D257" s="400"/>
      <c r="E257" s="400"/>
      <c r="F257" s="400"/>
      <c r="G257" s="400"/>
      <c r="H257" s="400"/>
      <c r="I257" s="400"/>
      <c r="J257" s="400"/>
      <c r="K257" s="400"/>
    </row>
    <row r="258" spans="1:11" ht="12.75">
      <c r="A258"/>
      <c r="B258"/>
      <c r="C258"/>
      <c r="D258" s="400"/>
      <c r="E258" s="400"/>
      <c r="F258" s="400"/>
      <c r="G258" s="400"/>
      <c r="H258" s="400"/>
      <c r="I258" s="400"/>
      <c r="J258" s="400"/>
      <c r="K258" s="400"/>
    </row>
    <row r="259" spans="1:11" ht="12.75">
      <c r="A259"/>
      <c r="B259"/>
      <c r="C259"/>
      <c r="D259" s="400"/>
      <c r="E259" s="400"/>
      <c r="F259" s="400"/>
      <c r="G259" s="400"/>
      <c r="H259" s="400"/>
      <c r="I259" s="400"/>
      <c r="J259" s="400"/>
      <c r="K259" s="400"/>
    </row>
    <row r="260" spans="1:11" ht="12.75">
      <c r="A260"/>
      <c r="B260"/>
      <c r="C260"/>
      <c r="D260" s="400"/>
      <c r="E260" s="400"/>
      <c r="F260" s="400"/>
      <c r="G260" s="400"/>
      <c r="H260" s="400"/>
      <c r="I260" s="400"/>
      <c r="J260" s="400"/>
      <c r="K260" s="400"/>
    </row>
    <row r="261" spans="1:11" ht="12.75">
      <c r="A261"/>
      <c r="B261"/>
      <c r="C261"/>
      <c r="D261" s="400"/>
      <c r="E261" s="400"/>
      <c r="F261" s="400"/>
      <c r="G261" s="400"/>
      <c r="H261" s="400"/>
      <c r="I261" s="400"/>
      <c r="J261" s="400"/>
      <c r="K261" s="400"/>
    </row>
    <row r="262" spans="1:11" ht="12.75">
      <c r="A262"/>
      <c r="B262"/>
      <c r="C262"/>
      <c r="D262" s="400"/>
      <c r="E262" s="400"/>
      <c r="F262" s="400"/>
      <c r="G262" s="400"/>
      <c r="H262" s="400"/>
      <c r="I262" s="400"/>
      <c r="J262" s="400"/>
      <c r="K262" s="400"/>
    </row>
    <row r="263" spans="1:11" ht="12.75">
      <c r="A263"/>
      <c r="B263"/>
      <c r="C263"/>
      <c r="D263" s="400"/>
      <c r="E263" s="400"/>
      <c r="F263" s="400"/>
      <c r="G263" s="400"/>
      <c r="H263" s="400"/>
      <c r="I263" s="400"/>
      <c r="J263" s="400"/>
      <c r="K263" s="400"/>
    </row>
    <row r="264" spans="1:11" ht="12.75">
      <c r="A264"/>
      <c r="B264"/>
      <c r="C264"/>
      <c r="D264" s="400"/>
      <c r="E264" s="400"/>
      <c r="F264" s="400"/>
      <c r="G264" s="400"/>
      <c r="H264" s="400"/>
      <c r="I264" s="400"/>
      <c r="J264" s="400"/>
      <c r="K264" s="400"/>
    </row>
    <row r="265" spans="1:11" ht="12.75">
      <c r="A265"/>
      <c r="B265"/>
      <c r="C265"/>
      <c r="D265" s="400"/>
      <c r="E265" s="400"/>
      <c r="F265" s="400"/>
      <c r="G265" s="400"/>
      <c r="H265" s="400"/>
      <c r="I265" s="400"/>
      <c r="J265" s="400"/>
      <c r="K265" s="400"/>
    </row>
    <row r="266" spans="1:11" ht="12.75">
      <c r="A266"/>
      <c r="B266"/>
      <c r="C266"/>
      <c r="D266" s="400"/>
      <c r="E266" s="400"/>
      <c r="F266" s="400"/>
      <c r="G266" s="400"/>
      <c r="H266" s="400"/>
      <c r="I266" s="400"/>
      <c r="J266" s="400"/>
      <c r="K266" s="400"/>
    </row>
    <row r="267" spans="1:11" ht="12.75">
      <c r="A267"/>
      <c r="B267"/>
      <c r="C267"/>
      <c r="D267" s="400"/>
      <c r="E267" s="400"/>
      <c r="F267" s="400"/>
      <c r="G267" s="400"/>
      <c r="H267" s="400"/>
      <c r="I267" s="400"/>
      <c r="J267" s="400"/>
      <c r="K267" s="400"/>
    </row>
    <row r="268" spans="1:11" ht="12.75">
      <c r="A268"/>
      <c r="B268"/>
      <c r="C268"/>
      <c r="D268" s="400"/>
      <c r="E268" s="400"/>
      <c r="F268" s="400"/>
      <c r="G268" s="400"/>
      <c r="H268" s="400"/>
      <c r="I268" s="400"/>
      <c r="J268" s="400"/>
      <c r="K268" s="400"/>
    </row>
    <row r="269" spans="1:11" ht="12.75">
      <c r="A269"/>
      <c r="B269"/>
      <c r="C269"/>
      <c r="D269" s="400"/>
      <c r="E269" s="400"/>
      <c r="F269" s="400"/>
      <c r="G269" s="400"/>
      <c r="H269" s="400"/>
      <c r="I269" s="400"/>
      <c r="J269" s="400"/>
      <c r="K269" s="400"/>
    </row>
    <row r="270" spans="1:11" ht="12.75">
      <c r="A270"/>
      <c r="B270"/>
      <c r="C270"/>
      <c r="D270" s="400"/>
      <c r="E270" s="400"/>
      <c r="F270" s="400"/>
      <c r="G270" s="400"/>
      <c r="H270" s="400"/>
      <c r="I270" s="400"/>
      <c r="J270" s="400"/>
      <c r="K270" s="400"/>
    </row>
    <row r="271" spans="1:11" ht="12.75">
      <c r="A271"/>
      <c r="B271"/>
      <c r="C271"/>
      <c r="D271" s="400"/>
      <c r="E271" s="400"/>
      <c r="F271" s="400"/>
      <c r="G271" s="400"/>
      <c r="H271" s="400"/>
      <c r="I271" s="400"/>
      <c r="J271" s="400"/>
      <c r="K271" s="400"/>
    </row>
    <row r="272" spans="1:11" ht="12.75">
      <c r="A272"/>
      <c r="B272"/>
      <c r="C272"/>
      <c r="D272" s="400"/>
      <c r="E272" s="400"/>
      <c r="F272" s="400"/>
      <c r="G272" s="400"/>
      <c r="H272" s="400"/>
      <c r="I272" s="400"/>
      <c r="J272" s="400"/>
      <c r="K272" s="400"/>
    </row>
    <row r="273" spans="1:11" ht="12.75">
      <c r="A273"/>
      <c r="B273"/>
      <c r="C273"/>
      <c r="D273" s="400"/>
      <c r="E273" s="400"/>
      <c r="F273" s="400"/>
      <c r="G273" s="400"/>
      <c r="H273" s="400"/>
      <c r="I273" s="400"/>
      <c r="J273" s="400"/>
      <c r="K273" s="400"/>
    </row>
    <row r="274" spans="1:11" ht="12.75">
      <c r="A274"/>
      <c r="B274"/>
      <c r="C274"/>
      <c r="D274" s="400"/>
      <c r="E274" s="400"/>
      <c r="F274" s="400"/>
      <c r="G274" s="400"/>
      <c r="H274" s="400"/>
      <c r="I274" s="400"/>
      <c r="J274" s="400"/>
      <c r="K274" s="400"/>
    </row>
    <row r="275" spans="1:11" ht="12.75">
      <c r="A275"/>
      <c r="B275"/>
      <c r="C275"/>
      <c r="D275" s="400"/>
      <c r="E275" s="400"/>
      <c r="F275" s="400"/>
      <c r="G275" s="400"/>
      <c r="H275" s="400"/>
      <c r="I275" s="400"/>
      <c r="J275" s="400"/>
      <c r="K275" s="400"/>
    </row>
    <row r="276" spans="1:11" ht="12.75">
      <c r="A276"/>
      <c r="B276"/>
      <c r="C276"/>
      <c r="D276" s="400"/>
      <c r="E276" s="400"/>
      <c r="F276" s="400"/>
      <c r="G276" s="400"/>
      <c r="H276" s="400"/>
      <c r="I276" s="400"/>
      <c r="J276" s="400"/>
      <c r="K276" s="400"/>
    </row>
    <row r="277" spans="1:11" ht="12.75">
      <c r="A277"/>
      <c r="B277"/>
      <c r="C277"/>
      <c r="D277" s="400"/>
      <c r="E277" s="400"/>
      <c r="F277" s="400"/>
      <c r="G277" s="400"/>
      <c r="H277" s="400"/>
      <c r="I277" s="400"/>
      <c r="J277" s="400"/>
      <c r="K277" s="400"/>
    </row>
    <row r="278" spans="1:11" ht="12.75">
      <c r="A278"/>
      <c r="B278"/>
      <c r="C278"/>
      <c r="D278" s="400"/>
      <c r="E278" s="400"/>
      <c r="F278" s="400"/>
      <c r="G278" s="400"/>
      <c r="H278" s="400"/>
      <c r="I278" s="400"/>
      <c r="J278" s="400"/>
      <c r="K278" s="400"/>
    </row>
    <row r="279" spans="1:11" ht="12.75">
      <c r="A279"/>
      <c r="B279"/>
      <c r="C279"/>
      <c r="D279" s="400"/>
      <c r="E279" s="400"/>
      <c r="F279" s="400"/>
      <c r="G279" s="400"/>
      <c r="H279" s="400"/>
      <c r="I279" s="400"/>
      <c r="J279" s="400"/>
      <c r="K279" s="400"/>
    </row>
    <row r="280" spans="1:11" ht="12.75">
      <c r="A280"/>
      <c r="B280"/>
      <c r="C280"/>
      <c r="D280" s="400"/>
      <c r="E280" s="400"/>
      <c r="F280" s="400"/>
      <c r="G280" s="400"/>
      <c r="H280" s="400"/>
      <c r="I280" s="400"/>
      <c r="J280" s="400"/>
      <c r="K280" s="400"/>
    </row>
    <row r="281" spans="1:11" ht="12.75">
      <c r="A281"/>
      <c r="B281"/>
      <c r="C281"/>
      <c r="D281" s="400"/>
      <c r="E281" s="400"/>
      <c r="F281" s="400"/>
      <c r="G281" s="400"/>
      <c r="H281" s="400"/>
      <c r="I281" s="400"/>
      <c r="J281" s="400"/>
      <c r="K281" s="400"/>
    </row>
    <row r="282" spans="1:11" ht="12.75">
      <c r="A282"/>
      <c r="B282"/>
      <c r="C282"/>
      <c r="D282" s="400"/>
      <c r="E282" s="400"/>
      <c r="F282" s="400"/>
      <c r="G282" s="400"/>
      <c r="H282" s="400"/>
      <c r="I282" s="400"/>
      <c r="J282" s="400"/>
      <c r="K282" s="400"/>
    </row>
    <row r="283" spans="1:11" ht="12.75">
      <c r="A283"/>
      <c r="B283"/>
      <c r="C283"/>
      <c r="D283" s="400"/>
      <c r="E283" s="400"/>
      <c r="F283" s="400"/>
      <c r="G283" s="400"/>
      <c r="H283" s="400"/>
      <c r="I283" s="400"/>
      <c r="J283" s="400"/>
      <c r="K283" s="400"/>
    </row>
    <row r="284" spans="1:11" ht="12.75">
      <c r="A284"/>
      <c r="B284"/>
      <c r="C284"/>
      <c r="D284" s="400"/>
      <c r="E284" s="400"/>
      <c r="F284" s="400"/>
      <c r="G284" s="400"/>
      <c r="H284" s="400"/>
      <c r="I284" s="400"/>
      <c r="J284" s="400"/>
      <c r="K284" s="400"/>
    </row>
    <row r="285" spans="1:11" ht="12.75">
      <c r="A285"/>
      <c r="B285"/>
      <c r="C285"/>
      <c r="D285" s="400"/>
      <c r="E285" s="400"/>
      <c r="F285" s="400"/>
      <c r="G285" s="400"/>
      <c r="H285" s="400"/>
      <c r="I285" s="400"/>
      <c r="J285" s="400"/>
      <c r="K285" s="400"/>
    </row>
    <row r="286" spans="1:11" ht="12.75">
      <c r="A286"/>
      <c r="B286"/>
      <c r="C286"/>
      <c r="D286" s="400"/>
      <c r="E286" s="400"/>
      <c r="F286" s="400"/>
      <c r="G286" s="400"/>
      <c r="H286" s="400"/>
      <c r="I286" s="400"/>
      <c r="J286" s="400"/>
      <c r="K286" s="400"/>
    </row>
    <row r="287" spans="1:11" ht="12.75">
      <c r="A287"/>
      <c r="B287"/>
      <c r="C287"/>
      <c r="D287" s="400"/>
      <c r="E287" s="400"/>
      <c r="F287" s="400"/>
      <c r="G287" s="400"/>
      <c r="H287" s="400"/>
      <c r="I287" s="400"/>
      <c r="J287" s="400"/>
      <c r="K287" s="400"/>
    </row>
    <row r="288" spans="1:11" ht="12.75">
      <c r="A288"/>
      <c r="B288"/>
      <c r="C288"/>
      <c r="D288" s="400"/>
      <c r="E288" s="400"/>
      <c r="F288" s="400"/>
      <c r="G288" s="400"/>
      <c r="H288" s="400"/>
      <c r="I288" s="400"/>
      <c r="J288" s="400"/>
      <c r="K288" s="400"/>
    </row>
    <row r="289" spans="1:11" ht="12.75">
      <c r="A289"/>
      <c r="B289"/>
      <c r="C289"/>
      <c r="D289" s="400"/>
      <c r="E289" s="400"/>
      <c r="F289" s="400"/>
      <c r="G289" s="400"/>
      <c r="H289" s="400"/>
      <c r="I289" s="400"/>
      <c r="J289" s="400"/>
      <c r="K289" s="400"/>
    </row>
    <row r="290" spans="1:11" ht="12.75">
      <c r="A290"/>
      <c r="B290"/>
      <c r="C290"/>
      <c r="D290" s="400"/>
      <c r="E290" s="400"/>
      <c r="F290" s="400"/>
      <c r="G290" s="400"/>
      <c r="H290" s="400"/>
      <c r="I290" s="400"/>
      <c r="J290" s="400"/>
      <c r="K290" s="400"/>
    </row>
    <row r="291" spans="1:11" ht="12.75">
      <c r="A291"/>
      <c r="B291"/>
      <c r="C291"/>
      <c r="D291" s="400"/>
      <c r="E291" s="400"/>
      <c r="F291" s="400"/>
      <c r="G291" s="400"/>
      <c r="H291" s="400"/>
      <c r="I291" s="400"/>
      <c r="J291" s="400"/>
      <c r="K291" s="400"/>
    </row>
    <row r="292" spans="1:11" ht="12.75">
      <c r="A292"/>
      <c r="B292"/>
      <c r="C292"/>
      <c r="D292" s="400"/>
      <c r="E292" s="400"/>
      <c r="F292" s="400"/>
      <c r="G292" s="400"/>
      <c r="H292" s="400"/>
      <c r="I292" s="400"/>
      <c r="J292" s="400"/>
      <c r="K292" s="400"/>
    </row>
    <row r="293" spans="1:11" ht="12.75">
      <c r="A293"/>
      <c r="B293"/>
      <c r="C293"/>
      <c r="D293" s="400"/>
      <c r="E293" s="400"/>
      <c r="F293" s="400"/>
      <c r="G293" s="400"/>
      <c r="H293" s="400"/>
      <c r="I293" s="400"/>
      <c r="J293" s="400"/>
      <c r="K293" s="400"/>
    </row>
    <row r="294" spans="1:11" ht="12.75">
      <c r="A294"/>
      <c r="B294"/>
      <c r="C294"/>
      <c r="D294" s="400"/>
      <c r="E294" s="400"/>
      <c r="F294" s="400"/>
      <c r="G294" s="400"/>
      <c r="H294" s="400"/>
      <c r="I294" s="400"/>
      <c r="J294" s="400"/>
      <c r="K294" s="400"/>
    </row>
    <row r="295" spans="1:11" ht="12.75">
      <c r="A295"/>
      <c r="B295"/>
      <c r="C295"/>
      <c r="D295" s="400"/>
      <c r="E295" s="400"/>
      <c r="F295" s="400"/>
      <c r="G295" s="400"/>
      <c r="H295" s="400"/>
      <c r="I295" s="400"/>
      <c r="J295" s="400"/>
      <c r="K295" s="400"/>
    </row>
    <row r="296" spans="1:11" ht="12.75">
      <c r="A296"/>
      <c r="B296"/>
      <c r="C296"/>
      <c r="D296" s="400"/>
      <c r="E296" s="400"/>
      <c r="F296" s="400"/>
      <c r="G296" s="400"/>
      <c r="H296" s="400"/>
      <c r="I296" s="400"/>
      <c r="J296" s="400"/>
      <c r="K296" s="400"/>
    </row>
    <row r="297" spans="1:11" ht="12.75">
      <c r="A297"/>
      <c r="B297"/>
      <c r="C297"/>
      <c r="D297" s="400"/>
      <c r="E297" s="400"/>
      <c r="F297" s="400"/>
      <c r="G297" s="400"/>
      <c r="H297" s="400"/>
      <c r="I297" s="400"/>
      <c r="J297" s="400"/>
      <c r="K297" s="400"/>
    </row>
    <row r="298" spans="1:11" ht="12.75">
      <c r="A298"/>
      <c r="B298"/>
      <c r="C298"/>
      <c r="D298" s="400"/>
      <c r="E298" s="400"/>
      <c r="F298" s="400"/>
      <c r="G298" s="400"/>
      <c r="H298" s="400"/>
      <c r="I298" s="400"/>
      <c r="J298" s="400"/>
      <c r="K298" s="400"/>
    </row>
    <row r="299" spans="1:11" ht="12.75">
      <c r="A299"/>
      <c r="B299"/>
      <c r="C299"/>
      <c r="D299" s="400"/>
      <c r="E299" s="400"/>
      <c r="F299" s="400"/>
      <c r="G299" s="400"/>
      <c r="H299" s="400"/>
      <c r="I299" s="400"/>
      <c r="J299" s="400"/>
      <c r="K299" s="400"/>
    </row>
    <row r="300" spans="1:11" ht="12.75">
      <c r="A300"/>
      <c r="B300"/>
      <c r="C300"/>
      <c r="D300" s="400"/>
      <c r="E300" s="400"/>
      <c r="F300" s="400"/>
      <c r="G300" s="400"/>
      <c r="H300" s="400"/>
      <c r="I300" s="400"/>
      <c r="J300" s="400"/>
      <c r="K300" s="400"/>
    </row>
    <row r="301" spans="1:11" ht="12.75">
      <c r="A301"/>
      <c r="B301"/>
      <c r="C301"/>
      <c r="D301" s="400"/>
      <c r="E301" s="400"/>
      <c r="F301" s="400"/>
      <c r="G301" s="400"/>
      <c r="H301" s="400"/>
      <c r="I301" s="400"/>
      <c r="J301" s="400"/>
      <c r="K301" s="400"/>
    </row>
    <row r="302" spans="1:11" ht="12.75">
      <c r="A302"/>
      <c r="B302"/>
      <c r="C302"/>
      <c r="D302" s="400"/>
      <c r="E302" s="400"/>
      <c r="F302" s="400"/>
      <c r="G302" s="400"/>
      <c r="H302" s="400"/>
      <c r="I302" s="400"/>
      <c r="J302" s="400"/>
      <c r="K302" s="400"/>
    </row>
    <row r="303" spans="1:11" ht="12.75">
      <c r="A303"/>
      <c r="B303"/>
      <c r="C303"/>
      <c r="D303" s="400"/>
      <c r="E303" s="400"/>
      <c r="F303" s="400"/>
      <c r="G303" s="400"/>
      <c r="H303" s="400"/>
      <c r="I303" s="400"/>
      <c r="J303" s="400"/>
      <c r="K303" s="400"/>
    </row>
    <row r="304" spans="1:11" ht="12.75">
      <c r="A304"/>
      <c r="B304"/>
      <c r="C304"/>
      <c r="D304" s="400"/>
      <c r="E304" s="400"/>
      <c r="F304" s="400"/>
      <c r="G304" s="400"/>
      <c r="H304" s="400"/>
      <c r="I304" s="400"/>
      <c r="J304" s="400"/>
      <c r="K304" s="400"/>
    </row>
    <row r="305" spans="1:11" ht="12.75">
      <c r="A305"/>
      <c r="B305"/>
      <c r="C305"/>
      <c r="D305" s="400"/>
      <c r="E305" s="400"/>
      <c r="F305" s="400"/>
      <c r="G305" s="400"/>
      <c r="H305" s="400"/>
      <c r="I305" s="400"/>
      <c r="J305" s="400"/>
      <c r="K305" s="400"/>
    </row>
    <row r="306" spans="1:11" ht="12.75">
      <c r="A306"/>
      <c r="B306"/>
      <c r="C306"/>
      <c r="D306" s="400"/>
      <c r="E306" s="400"/>
      <c r="F306" s="400"/>
      <c r="G306" s="400"/>
      <c r="H306" s="400"/>
      <c r="I306" s="400"/>
      <c r="J306" s="400"/>
      <c r="K306" s="400"/>
    </row>
    <row r="307" spans="1:11" ht="12.75">
      <c r="A307"/>
      <c r="B307"/>
      <c r="C307"/>
      <c r="D307" s="400"/>
      <c r="E307" s="400"/>
      <c r="F307" s="400"/>
      <c r="G307" s="400"/>
      <c r="H307" s="400"/>
      <c r="I307" s="400"/>
      <c r="J307" s="400"/>
      <c r="K307" s="400"/>
    </row>
    <row r="308" spans="1:11" ht="12.75">
      <c r="A308"/>
      <c r="B308"/>
      <c r="C308"/>
      <c r="D308" s="400"/>
      <c r="E308" s="400"/>
      <c r="F308" s="400"/>
      <c r="G308" s="400"/>
      <c r="H308" s="400"/>
      <c r="I308" s="400"/>
      <c r="J308" s="400"/>
      <c r="K308" s="400"/>
    </row>
    <row r="309" spans="1:11" ht="12.75">
      <c r="A309"/>
      <c r="B309"/>
      <c r="C309"/>
      <c r="D309" s="400"/>
      <c r="E309" s="400"/>
      <c r="F309" s="400"/>
      <c r="G309" s="400"/>
      <c r="H309" s="400"/>
      <c r="I309" s="400"/>
      <c r="J309" s="400"/>
      <c r="K309" s="400"/>
    </row>
    <row r="310" spans="1:11" ht="12.75">
      <c r="A310"/>
      <c r="B310"/>
      <c r="C310"/>
      <c r="D310" s="400"/>
      <c r="E310" s="400"/>
      <c r="F310" s="400"/>
      <c r="G310" s="400"/>
      <c r="H310" s="400"/>
      <c r="I310" s="400"/>
      <c r="J310" s="400"/>
      <c r="K310" s="400"/>
    </row>
    <row r="311" spans="1:11" ht="12.75">
      <c r="A311"/>
      <c r="B311"/>
      <c r="C311"/>
      <c r="D311" s="400"/>
      <c r="E311" s="400"/>
      <c r="F311" s="400"/>
      <c r="G311" s="400"/>
      <c r="H311" s="400"/>
      <c r="I311" s="400"/>
      <c r="J311" s="400"/>
      <c r="K311" s="400"/>
    </row>
    <row r="312" spans="1:11" ht="12.75">
      <c r="A312"/>
      <c r="B312"/>
      <c r="C312"/>
      <c r="D312" s="400"/>
      <c r="E312" s="400"/>
      <c r="F312" s="400"/>
      <c r="G312" s="400"/>
      <c r="H312" s="400"/>
      <c r="I312" s="400"/>
      <c r="J312" s="400"/>
      <c r="K312" s="400"/>
    </row>
    <row r="313" spans="1:11" ht="12.75">
      <c r="A313"/>
      <c r="B313"/>
      <c r="C313"/>
      <c r="D313" s="400"/>
      <c r="E313" s="400"/>
      <c r="F313" s="400"/>
      <c r="G313" s="400"/>
      <c r="H313" s="400"/>
      <c r="I313" s="400"/>
      <c r="J313" s="400"/>
      <c r="K313" s="400"/>
    </row>
    <row r="314" spans="1:11" ht="12.75">
      <c r="A314"/>
      <c r="B314"/>
      <c r="C314"/>
      <c r="D314" s="400"/>
      <c r="E314" s="400"/>
      <c r="F314" s="400"/>
      <c r="G314" s="400"/>
      <c r="H314" s="400"/>
      <c r="I314" s="400"/>
      <c r="J314" s="400"/>
      <c r="K314" s="400"/>
    </row>
    <row r="315" spans="1:11" ht="12.75">
      <c r="A315"/>
      <c r="B315"/>
      <c r="C315"/>
      <c r="D315" s="400"/>
      <c r="E315" s="400"/>
      <c r="F315" s="400"/>
      <c r="G315" s="400"/>
      <c r="H315" s="400"/>
      <c r="I315" s="400"/>
      <c r="J315" s="400"/>
      <c r="K315" s="400"/>
    </row>
    <row r="316" spans="1:11" ht="12.75">
      <c r="A316"/>
      <c r="B316"/>
      <c r="C316"/>
      <c r="D316" s="400"/>
      <c r="E316" s="400"/>
      <c r="F316" s="400"/>
      <c r="G316" s="400"/>
      <c r="H316" s="400"/>
      <c r="I316" s="400"/>
      <c r="J316" s="400"/>
      <c r="K316" s="400"/>
    </row>
    <row r="317" spans="1:11" ht="12.75">
      <c r="A317"/>
      <c r="B317"/>
      <c r="C317"/>
      <c r="D317" s="400"/>
      <c r="E317" s="400"/>
      <c r="F317" s="400"/>
      <c r="G317" s="400"/>
      <c r="H317" s="400"/>
      <c r="I317" s="400"/>
      <c r="J317" s="400"/>
      <c r="K317" s="400"/>
    </row>
    <row r="318" spans="1:11" ht="12.75">
      <c r="A318"/>
      <c r="B318"/>
      <c r="C318"/>
      <c r="D318" s="400"/>
      <c r="E318" s="400"/>
      <c r="F318" s="400"/>
      <c r="G318" s="400"/>
      <c r="H318" s="400"/>
      <c r="I318" s="400"/>
      <c r="J318" s="400"/>
      <c r="K318" s="400"/>
    </row>
    <row r="319" spans="1:11" ht="12.75">
      <c r="A319"/>
      <c r="B319"/>
      <c r="C319"/>
      <c r="D319" s="400"/>
      <c r="E319" s="400"/>
      <c r="F319" s="400"/>
      <c r="G319" s="400"/>
      <c r="H319" s="400"/>
      <c r="I319" s="400"/>
      <c r="J319" s="400"/>
      <c r="K319" s="400"/>
    </row>
    <row r="320" spans="1:11" ht="12.75">
      <c r="A320"/>
      <c r="B320"/>
      <c r="C320"/>
      <c r="D320" s="400"/>
      <c r="E320" s="400"/>
      <c r="F320" s="400"/>
      <c r="G320" s="400"/>
      <c r="H320" s="400"/>
      <c r="I320" s="400"/>
      <c r="J320" s="400"/>
      <c r="K320" s="400"/>
    </row>
    <row r="321" spans="1:11" ht="12.75">
      <c r="A321"/>
      <c r="B321"/>
      <c r="C321"/>
      <c r="D321" s="400"/>
      <c r="E321" s="400"/>
      <c r="F321" s="400"/>
      <c r="G321" s="400"/>
      <c r="H321" s="400"/>
      <c r="I321" s="400"/>
      <c r="J321" s="400"/>
      <c r="K321" s="400"/>
    </row>
    <row r="322" spans="1:11" ht="12.75">
      <c r="A322"/>
      <c r="B322"/>
      <c r="C322"/>
      <c r="D322" s="400"/>
      <c r="E322" s="400"/>
      <c r="F322" s="400"/>
      <c r="G322" s="400"/>
      <c r="H322" s="400"/>
      <c r="I322" s="400"/>
      <c r="J322" s="400"/>
      <c r="K322" s="400"/>
    </row>
    <row r="323" spans="1:11" ht="12.75">
      <c r="A323"/>
      <c r="B323"/>
      <c r="C323"/>
      <c r="D323" s="400"/>
      <c r="E323" s="400"/>
      <c r="F323" s="400"/>
      <c r="G323" s="400"/>
      <c r="H323" s="400"/>
      <c r="I323" s="400"/>
      <c r="J323" s="400"/>
      <c r="K323" s="400"/>
    </row>
    <row r="324" spans="1:11" ht="12.75">
      <c r="A324"/>
      <c r="B324"/>
      <c r="C324"/>
      <c r="D324" s="400"/>
      <c r="E324" s="400"/>
      <c r="F324" s="400"/>
      <c r="G324" s="400"/>
      <c r="H324" s="400"/>
      <c r="I324" s="400"/>
      <c r="J324" s="400"/>
      <c r="K324" s="400"/>
    </row>
    <row r="325" spans="1:11" ht="12.75">
      <c r="A325"/>
      <c r="B325"/>
      <c r="C325"/>
      <c r="D325" s="400"/>
      <c r="E325" s="400"/>
      <c r="F325" s="400"/>
      <c r="G325" s="400"/>
      <c r="H325" s="400"/>
      <c r="I325" s="400"/>
      <c r="J325" s="400"/>
      <c r="K325" s="400"/>
    </row>
    <row r="326" spans="1:11" ht="12.75">
      <c r="A326"/>
      <c r="B326"/>
      <c r="C326"/>
      <c r="D326" s="400"/>
      <c r="E326" s="400"/>
      <c r="F326" s="400"/>
      <c r="G326" s="400"/>
      <c r="H326" s="400"/>
      <c r="I326" s="400"/>
      <c r="J326" s="400"/>
      <c r="K326" s="400"/>
    </row>
    <row r="327" spans="1:11" ht="12.75">
      <c r="A327"/>
      <c r="B327"/>
      <c r="C327"/>
      <c r="D327" s="400"/>
      <c r="E327" s="400"/>
      <c r="F327" s="400"/>
      <c r="G327" s="400"/>
      <c r="H327" s="400"/>
      <c r="I327" s="400"/>
      <c r="J327" s="400"/>
      <c r="K327" s="400"/>
    </row>
    <row r="328" spans="1:11" ht="12.75">
      <c r="A328"/>
      <c r="B328"/>
      <c r="C328"/>
      <c r="D328" s="400"/>
      <c r="E328" s="400"/>
      <c r="F328" s="400"/>
      <c r="G328" s="400"/>
      <c r="H328" s="400"/>
      <c r="I328" s="400"/>
      <c r="J328" s="400"/>
      <c r="K328" s="400"/>
    </row>
    <row r="329" spans="1:11" ht="12.75">
      <c r="A329"/>
      <c r="B329"/>
      <c r="C329"/>
      <c r="D329" s="400"/>
      <c r="E329" s="400"/>
      <c r="F329" s="400"/>
      <c r="G329" s="400"/>
      <c r="H329" s="400"/>
      <c r="I329" s="400"/>
      <c r="J329" s="400"/>
      <c r="K329" s="400"/>
    </row>
    <row r="330" spans="1:11" ht="12.75">
      <c r="A330"/>
      <c r="B330"/>
      <c r="C330"/>
      <c r="D330" s="400"/>
      <c r="E330" s="400"/>
      <c r="F330" s="400"/>
      <c r="G330" s="400"/>
      <c r="H330" s="400"/>
      <c r="I330" s="400"/>
      <c r="J330" s="400"/>
      <c r="K330" s="400"/>
    </row>
    <row r="331" spans="1:11" ht="12.75">
      <c r="A331"/>
      <c r="B331"/>
      <c r="C331"/>
      <c r="D331" s="400"/>
      <c r="E331" s="400"/>
      <c r="F331" s="400"/>
      <c r="G331" s="400"/>
      <c r="H331" s="400"/>
      <c r="I331" s="400"/>
      <c r="J331" s="400"/>
      <c r="K331" s="400"/>
    </row>
    <row r="332" spans="1:11" ht="12.75">
      <c r="A332"/>
      <c r="B332"/>
      <c r="C332"/>
      <c r="D332" s="400"/>
      <c r="E332" s="400"/>
      <c r="F332" s="400"/>
      <c r="G332" s="400"/>
      <c r="H332" s="400"/>
      <c r="I332" s="400"/>
      <c r="J332" s="400"/>
      <c r="K332" s="400"/>
    </row>
    <row r="333" spans="1:11" ht="12.75">
      <c r="A333"/>
      <c r="B333"/>
      <c r="C333"/>
      <c r="D333" s="400"/>
      <c r="E333" s="400"/>
      <c r="F333" s="400"/>
      <c r="G333" s="400"/>
      <c r="H333" s="400"/>
      <c r="I333" s="400"/>
      <c r="J333" s="400"/>
      <c r="K333" s="400"/>
    </row>
    <row r="334" spans="1:11" ht="12.75">
      <c r="A334"/>
      <c r="B334"/>
      <c r="C334"/>
      <c r="D334" s="400"/>
      <c r="E334" s="400"/>
      <c r="F334" s="400"/>
      <c r="G334" s="400"/>
      <c r="H334" s="400"/>
      <c r="I334" s="400"/>
      <c r="J334" s="400"/>
      <c r="K334" s="400"/>
    </row>
    <row r="335" spans="1:11" ht="12.75">
      <c r="A335"/>
      <c r="B335"/>
      <c r="C335"/>
      <c r="D335" s="400"/>
      <c r="E335" s="400"/>
      <c r="F335" s="400"/>
      <c r="G335" s="400"/>
      <c r="H335" s="400"/>
      <c r="I335" s="400"/>
      <c r="J335" s="400"/>
      <c r="K335" s="400"/>
    </row>
    <row r="336" spans="1:11" ht="12.75">
      <c r="A336"/>
      <c r="B336"/>
      <c r="C336"/>
      <c r="D336" s="400"/>
      <c r="E336" s="400"/>
      <c r="F336" s="400"/>
      <c r="G336" s="400"/>
      <c r="H336" s="400"/>
      <c r="I336" s="400"/>
      <c r="J336" s="400"/>
      <c r="K336" s="400"/>
    </row>
    <row r="337" spans="1:11" ht="12.75">
      <c r="A337"/>
      <c r="B337"/>
      <c r="C337"/>
      <c r="D337" s="400"/>
      <c r="E337" s="400"/>
      <c r="F337" s="400"/>
      <c r="G337" s="400"/>
      <c r="H337" s="400"/>
      <c r="I337" s="400"/>
      <c r="J337" s="400"/>
      <c r="K337" s="400"/>
    </row>
    <row r="338" spans="1:11" ht="12.75">
      <c r="A338"/>
      <c r="B338"/>
      <c r="C338"/>
      <c r="D338" s="400"/>
      <c r="E338" s="400"/>
      <c r="F338" s="400"/>
      <c r="G338" s="400"/>
      <c r="H338" s="400"/>
      <c r="I338" s="400"/>
      <c r="J338" s="400"/>
      <c r="K338" s="400"/>
    </row>
    <row r="339" spans="1:11" ht="12.75">
      <c r="A339"/>
      <c r="B339"/>
      <c r="C339"/>
      <c r="D339" s="400"/>
      <c r="E339" s="400"/>
      <c r="F339" s="400"/>
      <c r="G339" s="400"/>
      <c r="H339" s="400"/>
      <c r="I339" s="400"/>
      <c r="J339" s="400"/>
      <c r="K339" s="400"/>
    </row>
    <row r="340" spans="1:11" ht="12.75">
      <c r="A340"/>
      <c r="B340"/>
      <c r="C340"/>
      <c r="D340" s="400"/>
      <c r="E340" s="400"/>
      <c r="F340" s="400"/>
      <c r="G340" s="400"/>
      <c r="H340" s="400"/>
      <c r="I340" s="400"/>
      <c r="J340" s="400"/>
      <c r="K340" s="400"/>
    </row>
    <row r="341" spans="1:11" ht="12.75">
      <c r="A341"/>
      <c r="B341"/>
      <c r="C341"/>
      <c r="D341" s="400"/>
      <c r="E341" s="400"/>
      <c r="F341" s="400"/>
      <c r="G341" s="400"/>
      <c r="H341" s="400"/>
      <c r="I341" s="400"/>
      <c r="J341" s="400"/>
      <c r="K341" s="400"/>
    </row>
    <row r="342" spans="1:11" ht="12.75">
      <c r="A342"/>
      <c r="B342"/>
      <c r="C342"/>
      <c r="D342" s="400"/>
      <c r="E342" s="400"/>
      <c r="F342" s="400"/>
      <c r="G342" s="400"/>
      <c r="H342" s="400"/>
      <c r="I342" s="400"/>
      <c r="J342" s="400"/>
      <c r="K342" s="400"/>
    </row>
    <row r="343" spans="1:11" ht="12.75">
      <c r="A343"/>
      <c r="B343"/>
      <c r="C343"/>
      <c r="D343" s="400"/>
      <c r="E343" s="400"/>
      <c r="F343" s="400"/>
      <c r="G343" s="400"/>
      <c r="H343" s="400"/>
      <c r="I343" s="400"/>
      <c r="J343" s="400"/>
      <c r="K343" s="400"/>
    </row>
    <row r="344" spans="1:11" ht="12.75">
      <c r="A344"/>
      <c r="B344"/>
      <c r="C344"/>
      <c r="D344" s="400"/>
      <c r="E344" s="400"/>
      <c r="F344" s="400"/>
      <c r="G344" s="400"/>
      <c r="H344" s="400"/>
      <c r="I344" s="400"/>
      <c r="J344" s="400"/>
      <c r="K344" s="400"/>
    </row>
    <row r="345" spans="1:11" ht="12.75">
      <c r="A345"/>
      <c r="B345"/>
      <c r="C345"/>
      <c r="D345" s="400"/>
      <c r="E345" s="400"/>
      <c r="F345" s="400"/>
      <c r="G345" s="400"/>
      <c r="H345" s="400"/>
      <c r="I345" s="400"/>
      <c r="J345" s="400"/>
      <c r="K345" s="400"/>
    </row>
    <row r="346" spans="1:11" ht="12.75">
      <c r="A346"/>
      <c r="B346"/>
      <c r="C346"/>
      <c r="D346" s="400"/>
      <c r="E346" s="400"/>
      <c r="F346" s="400"/>
      <c r="G346" s="400"/>
      <c r="H346" s="400"/>
      <c r="I346" s="400"/>
      <c r="J346" s="400"/>
      <c r="K346" s="400"/>
    </row>
    <row r="347" spans="1:11" ht="12.75">
      <c r="A347"/>
      <c r="B347"/>
      <c r="C347"/>
      <c r="D347" s="400"/>
      <c r="E347" s="400"/>
      <c r="F347" s="400"/>
      <c r="G347" s="400"/>
      <c r="H347" s="400"/>
      <c r="I347" s="400"/>
      <c r="J347" s="400"/>
      <c r="K347" s="400"/>
    </row>
    <row r="348" spans="1:11" ht="12.75">
      <c r="A348"/>
      <c r="B348"/>
      <c r="C348"/>
      <c r="D348" s="400"/>
      <c r="E348" s="400"/>
      <c r="F348" s="400"/>
      <c r="G348" s="400"/>
      <c r="H348" s="400"/>
      <c r="I348" s="400"/>
      <c r="J348" s="400"/>
      <c r="K348" s="400"/>
    </row>
    <row r="349" spans="1:11" ht="12.75">
      <c r="A349"/>
      <c r="B349"/>
      <c r="C349"/>
      <c r="D349" s="400"/>
      <c r="E349" s="400"/>
      <c r="F349" s="400"/>
      <c r="G349" s="400"/>
      <c r="H349" s="400"/>
      <c r="I349" s="400"/>
      <c r="J349" s="400"/>
      <c r="K349" s="400"/>
    </row>
    <row r="350" spans="1:11" ht="12.75">
      <c r="A350"/>
      <c r="B350"/>
      <c r="C350"/>
      <c r="D350" s="400"/>
      <c r="E350" s="400"/>
      <c r="F350" s="400"/>
      <c r="G350" s="400"/>
      <c r="H350" s="400"/>
      <c r="I350" s="400"/>
      <c r="J350" s="400"/>
      <c r="K350" s="400"/>
    </row>
    <row r="351" spans="1:11" ht="12.75">
      <c r="A351"/>
      <c r="B351"/>
      <c r="C351"/>
      <c r="D351" s="400"/>
      <c r="E351" s="400"/>
      <c r="F351" s="400"/>
      <c r="G351" s="400"/>
      <c r="H351" s="400"/>
      <c r="I351" s="400"/>
      <c r="J351" s="400"/>
      <c r="K351" s="400"/>
    </row>
    <row r="352" spans="1:11" ht="12.75">
      <c r="A352"/>
      <c r="B352"/>
      <c r="C352"/>
      <c r="D352" s="400"/>
      <c r="E352" s="400"/>
      <c r="F352" s="400"/>
      <c r="G352" s="400"/>
      <c r="H352" s="400"/>
      <c r="I352" s="400"/>
      <c r="J352" s="400"/>
      <c r="K352" s="400"/>
    </row>
    <row r="353" spans="1:11" ht="12.75">
      <c r="A353"/>
      <c r="B353"/>
      <c r="C353"/>
      <c r="D353" s="400"/>
      <c r="E353" s="400"/>
      <c r="F353" s="400"/>
      <c r="G353" s="400"/>
      <c r="H353" s="400"/>
      <c r="I353" s="400"/>
      <c r="J353" s="400"/>
      <c r="K353" s="400"/>
    </row>
    <row r="354" spans="1:11" ht="12.75">
      <c r="A354"/>
      <c r="B354"/>
      <c r="C354"/>
      <c r="D354" s="400"/>
      <c r="E354" s="400"/>
      <c r="F354" s="400"/>
      <c r="G354" s="400"/>
      <c r="H354" s="400"/>
      <c r="I354" s="400"/>
      <c r="J354" s="400"/>
      <c r="K354" s="400"/>
    </row>
    <row r="355" spans="1:11" ht="12.75">
      <c r="A355"/>
      <c r="B355"/>
      <c r="C355"/>
      <c r="D355" s="400"/>
      <c r="E355" s="400"/>
      <c r="F355" s="400"/>
      <c r="G355" s="400"/>
      <c r="H355" s="400"/>
      <c r="I355" s="400"/>
      <c r="J355" s="400"/>
      <c r="K355" s="400"/>
    </row>
    <row r="356" spans="1:11" ht="12.75">
      <c r="A356"/>
      <c r="B356"/>
      <c r="C356"/>
      <c r="D356" s="400"/>
      <c r="E356" s="400"/>
      <c r="F356" s="400"/>
      <c r="G356" s="400"/>
      <c r="H356" s="400"/>
      <c r="I356" s="400"/>
      <c r="J356" s="400"/>
      <c r="K356" s="400"/>
    </row>
    <row r="357" spans="1:11" ht="12.75">
      <c r="A357"/>
      <c r="B357"/>
      <c r="C357"/>
      <c r="D357" s="400"/>
      <c r="E357" s="400"/>
      <c r="F357" s="400"/>
      <c r="G357" s="400"/>
      <c r="H357" s="400"/>
      <c r="I357" s="400"/>
      <c r="J357" s="400"/>
      <c r="K357" s="400"/>
    </row>
    <row r="358" spans="1:11" ht="12.75">
      <c r="A358"/>
      <c r="B358"/>
      <c r="C358"/>
      <c r="D358" s="400"/>
      <c r="E358" s="400"/>
      <c r="F358" s="400"/>
      <c r="G358" s="400"/>
      <c r="H358" s="400"/>
      <c r="I358" s="400"/>
      <c r="J358" s="400"/>
      <c r="K358" s="400"/>
    </row>
    <row r="359" spans="1:11" ht="12.75">
      <c r="A359"/>
      <c r="B359"/>
      <c r="C359"/>
      <c r="D359" s="400"/>
      <c r="E359" s="400"/>
      <c r="F359" s="400"/>
      <c r="G359" s="400"/>
      <c r="H359" s="400"/>
      <c r="I359" s="400"/>
      <c r="J359" s="400"/>
      <c r="K359" s="400"/>
    </row>
    <row r="360" spans="1:11" ht="12.75">
      <c r="A360"/>
      <c r="B360"/>
      <c r="C360"/>
      <c r="D360" s="400"/>
      <c r="E360" s="400"/>
      <c r="F360" s="400"/>
      <c r="G360" s="400"/>
      <c r="H360" s="400"/>
      <c r="I360" s="400"/>
      <c r="J360" s="400"/>
      <c r="K360" s="400"/>
    </row>
    <row r="361" spans="1:11" ht="12.75">
      <c r="A361"/>
      <c r="B361"/>
      <c r="C361"/>
      <c r="D361" s="400"/>
      <c r="E361" s="400"/>
      <c r="F361" s="400"/>
      <c r="G361" s="400"/>
      <c r="H361" s="400"/>
      <c r="I361" s="400"/>
      <c r="J361" s="400"/>
      <c r="K361" s="400"/>
    </row>
    <row r="362" spans="1:11" ht="12.75">
      <c r="A362"/>
      <c r="B362"/>
      <c r="C362"/>
      <c r="D362" s="400"/>
      <c r="E362" s="400"/>
      <c r="F362" s="400"/>
      <c r="G362" s="400"/>
      <c r="H362" s="400"/>
      <c r="I362" s="400"/>
      <c r="J362" s="400"/>
      <c r="K362" s="400"/>
    </row>
    <row r="363" spans="1:11" ht="12.75">
      <c r="A363"/>
      <c r="B363"/>
      <c r="C363"/>
      <c r="D363" s="400"/>
      <c r="E363" s="400"/>
      <c r="F363" s="400"/>
      <c r="G363" s="400"/>
      <c r="H363" s="400"/>
      <c r="I363" s="400"/>
      <c r="J363" s="400"/>
      <c r="K363" s="400"/>
    </row>
    <row r="364" spans="1:11" ht="12.75">
      <c r="A364"/>
      <c r="B364"/>
      <c r="C364"/>
      <c r="D364" s="400"/>
      <c r="E364" s="400"/>
      <c r="F364" s="400"/>
      <c r="G364" s="400"/>
      <c r="H364" s="400"/>
      <c r="I364" s="400"/>
      <c r="J364" s="400"/>
      <c r="K364" s="400"/>
    </row>
    <row r="365" spans="1:11" ht="12.75">
      <c r="A365"/>
      <c r="B365"/>
      <c r="C365"/>
      <c r="D365" s="400"/>
      <c r="E365" s="400"/>
      <c r="F365" s="400"/>
      <c r="G365" s="400"/>
      <c r="H365" s="400"/>
      <c r="I365" s="400"/>
      <c r="J365" s="400"/>
      <c r="K365" s="400"/>
    </row>
    <row r="366" spans="1:11" ht="12.75">
      <c r="A366"/>
      <c r="B366"/>
      <c r="C366"/>
      <c r="D366" s="400"/>
      <c r="E366" s="400"/>
      <c r="F366" s="400"/>
      <c r="G366" s="400"/>
      <c r="H366" s="400"/>
      <c r="I366" s="400"/>
      <c r="J366" s="400"/>
      <c r="K366" s="400"/>
    </row>
    <row r="367" spans="1:11" ht="12.75">
      <c r="A367"/>
      <c r="B367"/>
      <c r="C367"/>
      <c r="D367" s="400"/>
      <c r="E367" s="400"/>
      <c r="F367" s="400"/>
      <c r="G367" s="400"/>
      <c r="H367" s="400"/>
      <c r="I367" s="400"/>
      <c r="J367" s="400"/>
      <c r="K367" s="400"/>
    </row>
    <row r="368" spans="1:11" ht="12.75">
      <c r="A368"/>
      <c r="B368"/>
      <c r="C368"/>
      <c r="D368" s="400"/>
      <c r="E368" s="400"/>
      <c r="F368" s="400"/>
      <c r="G368" s="400"/>
      <c r="H368" s="400"/>
      <c r="I368" s="400"/>
      <c r="J368" s="400"/>
      <c r="K368" s="400"/>
    </row>
    <row r="369" spans="1:11" ht="12.75">
      <c r="A369"/>
      <c r="B369"/>
      <c r="C369"/>
      <c r="D369" s="400"/>
      <c r="E369" s="400"/>
      <c r="F369" s="400"/>
      <c r="G369" s="400"/>
      <c r="H369" s="400"/>
      <c r="I369" s="400"/>
      <c r="J369" s="400"/>
      <c r="K369" s="400"/>
    </row>
    <row r="370" spans="1:11" ht="12.75">
      <c r="A370"/>
      <c r="B370"/>
      <c r="C370"/>
      <c r="D370" s="400"/>
      <c r="E370" s="400"/>
      <c r="F370" s="400"/>
      <c r="G370" s="400"/>
      <c r="H370" s="400"/>
      <c r="I370" s="400"/>
      <c r="J370" s="400"/>
      <c r="K370" s="400"/>
    </row>
    <row r="371" spans="1:11" ht="12.75">
      <c r="A371"/>
      <c r="B371"/>
      <c r="C371"/>
      <c r="D371" s="400"/>
      <c r="E371" s="400"/>
      <c r="F371" s="400"/>
      <c r="G371" s="400"/>
      <c r="H371" s="400"/>
      <c r="I371" s="400"/>
      <c r="J371" s="400"/>
      <c r="K371" s="400"/>
    </row>
    <row r="372" spans="1:11" ht="12.75">
      <c r="A372"/>
      <c r="B372"/>
      <c r="C372"/>
      <c r="D372" s="400"/>
      <c r="E372" s="400"/>
      <c r="F372" s="400"/>
      <c r="G372" s="400"/>
      <c r="H372" s="400"/>
      <c r="I372" s="400"/>
      <c r="J372" s="400"/>
      <c r="K372" s="400"/>
    </row>
    <row r="373" spans="1:11" ht="12.75">
      <c r="A373"/>
      <c r="B373"/>
      <c r="C373"/>
      <c r="D373" s="400"/>
      <c r="E373" s="400"/>
      <c r="F373" s="400"/>
      <c r="G373" s="400"/>
      <c r="H373" s="400"/>
      <c r="I373" s="400"/>
      <c r="J373" s="400"/>
      <c r="K373" s="400"/>
    </row>
    <row r="374" spans="1:11" ht="12.75">
      <c r="A374"/>
      <c r="B374"/>
      <c r="C374"/>
      <c r="D374" s="400"/>
      <c r="E374" s="400"/>
      <c r="F374" s="400"/>
      <c r="G374" s="400"/>
      <c r="H374" s="400"/>
      <c r="I374" s="400"/>
      <c r="J374" s="400"/>
      <c r="K374" s="400"/>
    </row>
    <row r="375" spans="1:11" ht="12.75">
      <c r="A375"/>
      <c r="B375"/>
      <c r="C375"/>
      <c r="D375" s="400"/>
      <c r="E375" s="400"/>
      <c r="F375" s="400"/>
      <c r="G375" s="400"/>
      <c r="H375" s="400"/>
      <c r="I375" s="400"/>
      <c r="J375" s="400"/>
      <c r="K375" s="400"/>
    </row>
    <row r="376" spans="1:11" ht="12.75">
      <c r="A376"/>
      <c r="B376"/>
      <c r="C376"/>
      <c r="D376" s="400"/>
      <c r="E376" s="400"/>
      <c r="F376" s="400"/>
      <c r="G376" s="400"/>
      <c r="H376" s="400"/>
      <c r="I376" s="400"/>
      <c r="J376" s="400"/>
      <c r="K376" s="400"/>
    </row>
    <row r="377" spans="1:11" ht="12.75">
      <c r="A377"/>
      <c r="B377"/>
      <c r="C377"/>
      <c r="D377" s="400"/>
      <c r="E377" s="400"/>
      <c r="F377" s="400"/>
      <c r="G377" s="400"/>
      <c r="H377" s="400"/>
      <c r="I377" s="400"/>
      <c r="J377" s="400"/>
      <c r="K377" s="400"/>
    </row>
    <row r="378" spans="1:11" ht="12.75">
      <c r="A378"/>
      <c r="B378"/>
      <c r="C378"/>
      <c r="D378" s="400"/>
      <c r="E378" s="400"/>
      <c r="F378" s="400"/>
      <c r="G378" s="400"/>
      <c r="H378" s="400"/>
      <c r="I378" s="400"/>
      <c r="J378" s="400"/>
      <c r="K378" s="400"/>
    </row>
    <row r="379" spans="1:11" ht="12.75">
      <c r="A379"/>
      <c r="B379"/>
      <c r="C379"/>
      <c r="D379" s="400"/>
      <c r="E379" s="400"/>
      <c r="F379" s="400"/>
      <c r="G379" s="400"/>
      <c r="H379" s="400"/>
      <c r="I379" s="400"/>
      <c r="J379" s="400"/>
      <c r="K379" s="400"/>
    </row>
    <row r="380" spans="1:11" ht="12.75">
      <c r="A380"/>
      <c r="B380"/>
      <c r="C380"/>
      <c r="D380" s="400"/>
      <c r="E380" s="400"/>
      <c r="F380" s="400"/>
      <c r="G380" s="400"/>
      <c r="H380" s="400"/>
      <c r="I380" s="400"/>
      <c r="J380" s="400"/>
      <c r="K380" s="400"/>
    </row>
    <row r="381" spans="1:11" ht="12.75">
      <c r="A381"/>
      <c r="B381"/>
      <c r="C381"/>
      <c r="D381" s="400"/>
      <c r="E381" s="400"/>
      <c r="F381" s="400"/>
      <c r="G381" s="400"/>
      <c r="H381" s="400"/>
      <c r="I381" s="400"/>
      <c r="J381" s="400"/>
      <c r="K381" s="400"/>
    </row>
    <row r="382" spans="1:11" ht="12.75">
      <c r="A382"/>
      <c r="B382"/>
      <c r="C382"/>
      <c r="D382" s="400"/>
      <c r="E382" s="400"/>
      <c r="F382" s="400"/>
      <c r="G382" s="400"/>
      <c r="H382" s="400"/>
      <c r="I382" s="400"/>
      <c r="J382" s="400"/>
      <c r="K382" s="400"/>
    </row>
    <row r="383" spans="1:11" ht="12.75">
      <c r="A383"/>
      <c r="B383"/>
      <c r="C383"/>
      <c r="D383" s="400"/>
      <c r="E383" s="400"/>
      <c r="F383" s="400"/>
      <c r="G383" s="400"/>
      <c r="H383" s="400"/>
      <c r="I383" s="400"/>
      <c r="J383" s="400"/>
      <c r="K383" s="400"/>
    </row>
    <row r="384" spans="1:11" ht="12.75">
      <c r="A384"/>
      <c r="B384"/>
      <c r="C384"/>
      <c r="D384" s="400"/>
      <c r="E384" s="400"/>
      <c r="F384" s="400"/>
      <c r="G384" s="400"/>
      <c r="H384" s="400"/>
      <c r="I384" s="400"/>
      <c r="J384" s="400"/>
      <c r="K384" s="400"/>
    </row>
    <row r="385" spans="1:11" ht="12.75">
      <c r="A385"/>
      <c r="B385"/>
      <c r="C385"/>
      <c r="D385" s="400"/>
      <c r="E385" s="400"/>
      <c r="F385" s="400"/>
      <c r="G385" s="400"/>
      <c r="H385" s="400"/>
      <c r="I385" s="400"/>
      <c r="J385" s="400"/>
      <c r="K385" s="40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0"/>
  <sheetViews>
    <sheetView zoomScalePageLayoutView="0" workbookViewId="0" topLeftCell="A7">
      <selection activeCell="B5" sqref="B5"/>
    </sheetView>
  </sheetViews>
  <sheetFormatPr defaultColWidth="9.140625" defaultRowHeight="12.75"/>
  <cols>
    <col min="1" max="1" width="9.140625" style="166" customWidth="1"/>
    <col min="2" max="2" width="43.8515625" style="166" customWidth="1"/>
    <col min="3" max="3" width="10.57421875" style="166" customWidth="1"/>
    <col min="4" max="4" width="12.421875" style="166" customWidth="1"/>
    <col min="5" max="5" width="11.8515625" style="166" customWidth="1"/>
    <col min="6" max="6" width="11.00390625" style="166" customWidth="1"/>
    <col min="7" max="7" width="13.00390625" style="166" customWidth="1"/>
    <col min="8" max="8" width="12.7109375" style="166" customWidth="1"/>
    <col min="9" max="9" width="15.57421875" style="166" customWidth="1"/>
    <col min="10" max="11" width="12.7109375" style="166" customWidth="1"/>
    <col min="12" max="12" width="13.00390625" style="166" customWidth="1"/>
    <col min="13" max="13" width="80.421875" style="166" hidden="1" customWidth="1"/>
    <col min="14" max="16384" width="9.140625" style="166" customWidth="1"/>
  </cols>
  <sheetData>
    <row r="1" spans="1:10" ht="15">
      <c r="A1" s="931" t="str">
        <f>Ulaz!$A$1</f>
        <v>NAZIV:</v>
      </c>
      <c r="B1" s="931" t="str">
        <f>Ulaz!$B$1</f>
        <v>xu</v>
      </c>
      <c r="C1" s="932"/>
      <c r="D1" s="932"/>
      <c r="E1" s="932"/>
      <c r="F1" s="932"/>
      <c r="G1" s="932"/>
      <c r="H1" s="932"/>
      <c r="I1" s="933"/>
      <c r="J1" s="933"/>
    </row>
    <row r="2" spans="1:10" ht="15">
      <c r="A2" s="931" t="str">
        <f>Ulaz!$A$2</f>
        <v>GODINA:</v>
      </c>
      <c r="B2" s="931">
        <f>Ulaz!$B$2</f>
        <v>2002</v>
      </c>
      <c r="C2" s="932"/>
      <c r="D2" s="932"/>
      <c r="E2" s="932"/>
      <c r="F2" s="932"/>
      <c r="G2" s="932"/>
      <c r="H2" s="932"/>
      <c r="I2" s="933"/>
      <c r="J2" s="933"/>
    </row>
    <row r="3" spans="1:10" ht="15">
      <c r="A3" s="931" t="str">
        <f>Ulaz!$A$3</f>
        <v>Iznos</v>
      </c>
      <c r="B3" s="834" t="str">
        <f>+Ulaz!B3</f>
        <v>U 000 din</v>
      </c>
      <c r="C3" s="932"/>
      <c r="D3" s="932"/>
      <c r="E3" s="932"/>
      <c r="F3" s="932"/>
      <c r="G3" s="932"/>
      <c r="H3" s="932"/>
      <c r="I3" s="933"/>
      <c r="J3" s="933"/>
    </row>
    <row r="4" spans="1:10" ht="18">
      <c r="A4" s="934"/>
      <c r="B4" s="934"/>
      <c r="C4" s="934"/>
      <c r="D4" s="836" t="s">
        <v>421</v>
      </c>
      <c r="E4" s="932"/>
      <c r="F4" s="932"/>
      <c r="G4" s="932"/>
      <c r="H4" s="932"/>
      <c r="I4" s="933"/>
      <c r="J4" s="933"/>
    </row>
    <row r="5" spans="1:10" ht="12.75">
      <c r="A5" s="934" t="str">
        <f>+B1</f>
        <v>xu</v>
      </c>
      <c r="B5" s="934" t="s">
        <v>802</v>
      </c>
      <c r="C5" s="934"/>
      <c r="D5" s="932" t="str">
        <f>+B3</f>
        <v>U 000 din</v>
      </c>
      <c r="E5" s="932"/>
      <c r="F5" s="935" t="s">
        <v>614</v>
      </c>
      <c r="G5" s="932"/>
      <c r="H5" s="932"/>
      <c r="I5" s="933"/>
      <c r="J5" s="933"/>
    </row>
    <row r="6" spans="1:10" ht="12.75">
      <c r="A6" s="944"/>
      <c r="B6" s="944"/>
      <c r="C6" s="944"/>
      <c r="D6" s="945">
        <f>+B2</f>
        <v>2002</v>
      </c>
      <c r="E6" s="945">
        <f>+D6-1</f>
        <v>2001</v>
      </c>
      <c r="F6" s="945">
        <f>+E6-1</f>
        <v>2000</v>
      </c>
      <c r="G6" s="945">
        <f>+F6-1</f>
        <v>1999</v>
      </c>
      <c r="H6" s="945">
        <f>+G6-1</f>
        <v>1998</v>
      </c>
      <c r="I6" s="945">
        <f>+H6-1</f>
        <v>1997</v>
      </c>
      <c r="J6" s="933"/>
    </row>
    <row r="7" spans="1:14" ht="12.75">
      <c r="A7" s="946" t="s">
        <v>422</v>
      </c>
      <c r="B7" s="947" t="s">
        <v>423</v>
      </c>
      <c r="C7" s="948" t="s">
        <v>424</v>
      </c>
      <c r="D7" s="949" t="str">
        <f>+Ulaz!F7</f>
        <v>Neto</v>
      </c>
      <c r="E7" s="949" t="str">
        <f>+Ulaz!J7</f>
        <v>Neto</v>
      </c>
      <c r="F7" s="949" t="str">
        <f>+Ulaz!N7</f>
        <v>Neto</v>
      </c>
      <c r="G7" s="949" t="str">
        <f>+Ulaz!R7</f>
        <v>Neto</v>
      </c>
      <c r="H7" s="949" t="str">
        <f>+Ulaz!J7</f>
        <v>Neto</v>
      </c>
      <c r="I7" s="949" t="str">
        <f>+Ulaz!J7</f>
        <v>Neto</v>
      </c>
      <c r="J7" s="933"/>
      <c r="N7" s="936"/>
    </row>
    <row r="8" spans="1:20" ht="12.75">
      <c r="A8" s="950">
        <v>1</v>
      </c>
      <c r="B8" s="950">
        <v>2</v>
      </c>
      <c r="C8" s="951">
        <v>3</v>
      </c>
      <c r="D8" s="944">
        <f aca="true" t="shared" si="0" ref="D8:I8">+C8+1</f>
        <v>4</v>
      </c>
      <c r="E8" s="944">
        <f t="shared" si="0"/>
        <v>5</v>
      </c>
      <c r="F8" s="944">
        <f t="shared" si="0"/>
        <v>6</v>
      </c>
      <c r="G8" s="944">
        <f t="shared" si="0"/>
        <v>7</v>
      </c>
      <c r="H8" s="944">
        <f t="shared" si="0"/>
        <v>8</v>
      </c>
      <c r="I8" s="944">
        <f t="shared" si="0"/>
        <v>9</v>
      </c>
      <c r="J8" s="933"/>
      <c r="K8" s="933"/>
      <c r="L8" s="933"/>
      <c r="M8" s="933"/>
      <c r="N8" s="933"/>
      <c r="O8" s="933"/>
      <c r="P8" s="933"/>
      <c r="Q8" s="933"/>
      <c r="R8" s="933"/>
      <c r="S8" s="933"/>
      <c r="T8" s="933"/>
    </row>
    <row r="9" spans="1:20" ht="12.75">
      <c r="A9" s="952" t="s">
        <v>427</v>
      </c>
      <c r="B9" s="953" t="s">
        <v>615</v>
      </c>
      <c r="C9" s="954" t="s">
        <v>428</v>
      </c>
      <c r="D9" s="949">
        <f>+Ulaz!F9</f>
        <v>0</v>
      </c>
      <c r="E9" s="949">
        <f>+Ulaz!J9</f>
        <v>0</v>
      </c>
      <c r="F9" s="949">
        <f>+Ulaz!N9</f>
        <v>0</v>
      </c>
      <c r="G9" s="949">
        <f>+Ulaz!R9</f>
        <v>0</v>
      </c>
      <c r="H9" s="949">
        <f>+Ulaz!V9</f>
        <v>0</v>
      </c>
      <c r="I9" s="949">
        <f>+Ulaz!Z9</f>
        <v>0</v>
      </c>
      <c r="J9" s="933"/>
      <c r="K9" s="933"/>
      <c r="L9" s="933"/>
      <c r="M9" s="933"/>
      <c r="N9" s="933"/>
      <c r="O9" s="933"/>
      <c r="P9" s="933"/>
      <c r="Q9" s="933"/>
      <c r="R9" s="933"/>
      <c r="S9" s="933"/>
      <c r="T9" s="933"/>
    </row>
    <row r="10" spans="1:20" ht="12.75">
      <c r="A10" s="952"/>
      <c r="B10" s="953" t="s">
        <v>429</v>
      </c>
      <c r="C10" s="954" t="s">
        <v>430</v>
      </c>
      <c r="D10" s="949">
        <f>+Ulaz!F10</f>
        <v>46224</v>
      </c>
      <c r="E10" s="949">
        <f>+Ulaz!J10</f>
        <v>37741</v>
      </c>
      <c r="F10" s="949">
        <f>+Ulaz!N10</f>
        <v>31663</v>
      </c>
      <c r="G10" s="949">
        <f>+Ulaz!R10</f>
        <v>16177</v>
      </c>
      <c r="H10" s="949">
        <f>+Ulaz!V10</f>
        <v>11155</v>
      </c>
      <c r="I10" s="949">
        <f>+Ulaz!Z10</f>
        <v>7767</v>
      </c>
      <c r="J10" s="933"/>
      <c r="K10" s="933"/>
      <c r="L10" s="933"/>
      <c r="M10" s="933"/>
      <c r="N10" s="933"/>
      <c r="O10" s="933"/>
      <c r="P10" s="933"/>
      <c r="Q10" s="933"/>
      <c r="R10" s="933"/>
      <c r="S10" s="933"/>
      <c r="T10" s="933"/>
    </row>
    <row r="11" spans="1:20" ht="12.75">
      <c r="A11" s="954"/>
      <c r="B11" s="955" t="s">
        <v>431</v>
      </c>
      <c r="C11" s="954" t="s">
        <v>432</v>
      </c>
      <c r="D11" s="949">
        <f>+Ulaz!F11</f>
        <v>0</v>
      </c>
      <c r="E11" s="949">
        <f>+Ulaz!J11</f>
        <v>0</v>
      </c>
      <c r="F11" s="949">
        <f>+Ulaz!N11</f>
        <v>0</v>
      </c>
      <c r="G11" s="949">
        <f>+Ulaz!R11</f>
        <v>0</v>
      </c>
      <c r="H11" s="949">
        <f>+Ulaz!V11</f>
        <v>0</v>
      </c>
      <c r="I11" s="949">
        <f>+Ulaz!Z11</f>
        <v>0</v>
      </c>
      <c r="J11" s="933"/>
      <c r="K11" s="933"/>
      <c r="L11" s="933"/>
      <c r="M11" s="933"/>
      <c r="N11" s="933"/>
      <c r="O11" s="933"/>
      <c r="P11" s="933"/>
      <c r="Q11" s="933"/>
      <c r="R11" s="933"/>
      <c r="S11" s="933"/>
      <c r="T11" s="933"/>
    </row>
    <row r="12" spans="1:20" ht="12.75">
      <c r="A12" s="954" t="s">
        <v>56</v>
      </c>
      <c r="B12" s="956" t="s">
        <v>433</v>
      </c>
      <c r="C12" s="954" t="s">
        <v>434</v>
      </c>
      <c r="D12" s="949">
        <f>+Ulaz!F12</f>
        <v>0</v>
      </c>
      <c r="E12" s="949">
        <f>+Ulaz!J12</f>
        <v>0</v>
      </c>
      <c r="F12" s="949">
        <f>+Ulaz!N12</f>
        <v>0</v>
      </c>
      <c r="G12" s="949">
        <f>+Ulaz!R12</f>
        <v>0</v>
      </c>
      <c r="H12" s="949">
        <f>+Ulaz!V12</f>
        <v>0</v>
      </c>
      <c r="I12" s="949">
        <f>+Ulaz!Z12</f>
        <v>0</v>
      </c>
      <c r="J12" s="933"/>
      <c r="K12" s="933"/>
      <c r="L12" s="933"/>
      <c r="M12" s="933"/>
      <c r="N12" s="933"/>
      <c r="O12" s="933"/>
      <c r="P12" s="933"/>
      <c r="Q12" s="933"/>
      <c r="R12" s="933"/>
      <c r="S12" s="933"/>
      <c r="T12" s="933"/>
    </row>
    <row r="13" spans="1:20" ht="12.75">
      <c r="A13" s="954" t="s">
        <v>435</v>
      </c>
      <c r="B13" s="956" t="s">
        <v>436</v>
      </c>
      <c r="C13" s="954" t="s">
        <v>437</v>
      </c>
      <c r="D13" s="949">
        <f>+Ulaz!F13</f>
        <v>0</v>
      </c>
      <c r="E13" s="949">
        <f>+Ulaz!J13</f>
        <v>0</v>
      </c>
      <c r="F13" s="949">
        <f>+Ulaz!N13</f>
        <v>0</v>
      </c>
      <c r="G13" s="949">
        <f>+Ulaz!R13</f>
        <v>0</v>
      </c>
      <c r="H13" s="949">
        <f>+Ulaz!V13</f>
        <v>0</v>
      </c>
      <c r="I13" s="949">
        <f>+Ulaz!Z13</f>
        <v>0</v>
      </c>
      <c r="J13" s="933"/>
      <c r="K13" s="933"/>
      <c r="L13" s="933"/>
      <c r="M13" s="933"/>
      <c r="N13" s="933"/>
      <c r="O13" s="933"/>
      <c r="P13" s="933"/>
      <c r="Q13" s="933"/>
      <c r="R13" s="933"/>
      <c r="S13" s="933"/>
      <c r="T13" s="933"/>
    </row>
    <row r="14" spans="1:20" ht="12.75">
      <c r="A14" s="954" t="s">
        <v>594</v>
      </c>
      <c r="B14" s="944" t="s">
        <v>438</v>
      </c>
      <c r="C14" s="954" t="s">
        <v>439</v>
      </c>
      <c r="D14" s="949">
        <f>+Ulaz!F14</f>
        <v>0</v>
      </c>
      <c r="E14" s="949">
        <f>+Ulaz!J14</f>
        <v>0</v>
      </c>
      <c r="F14" s="949">
        <f>+Ulaz!N14</f>
        <v>0</v>
      </c>
      <c r="G14" s="949">
        <f>+Ulaz!R14</f>
        <v>0</v>
      </c>
      <c r="H14" s="949">
        <f>+Ulaz!V14</f>
        <v>0</v>
      </c>
      <c r="I14" s="949">
        <f>+Ulaz!Z14</f>
        <v>0</v>
      </c>
      <c r="J14" s="933"/>
      <c r="K14" s="933"/>
      <c r="L14" s="933"/>
      <c r="M14" s="933"/>
      <c r="N14" s="933"/>
      <c r="O14" s="933"/>
      <c r="P14" s="933"/>
      <c r="Q14" s="933"/>
      <c r="R14" s="933"/>
      <c r="S14" s="933"/>
      <c r="T14" s="933"/>
    </row>
    <row r="15" spans="1:20" ht="12.75">
      <c r="A15" s="954" t="s">
        <v>595</v>
      </c>
      <c r="B15" s="944" t="s">
        <v>440</v>
      </c>
      <c r="C15" s="954" t="s">
        <v>441</v>
      </c>
      <c r="D15" s="949">
        <f>+Ulaz!F15</f>
        <v>0</v>
      </c>
      <c r="E15" s="949">
        <f>+Ulaz!J15</f>
        <v>0</v>
      </c>
      <c r="F15" s="949">
        <f>+Ulaz!N15</f>
        <v>0</v>
      </c>
      <c r="G15" s="949">
        <f>+Ulaz!R15</f>
        <v>0</v>
      </c>
      <c r="H15" s="949">
        <f>+Ulaz!V15</f>
        <v>0</v>
      </c>
      <c r="I15" s="949">
        <f>+Ulaz!Z15</f>
        <v>0</v>
      </c>
      <c r="J15" s="933"/>
      <c r="K15" s="933"/>
      <c r="L15" s="933"/>
      <c r="M15" s="933"/>
      <c r="N15" s="933"/>
      <c r="O15" s="933"/>
      <c r="P15" s="933"/>
      <c r="Q15" s="933"/>
      <c r="R15" s="933"/>
      <c r="S15" s="933"/>
      <c r="T15" s="933"/>
    </row>
    <row r="16" spans="1:20" ht="12.75">
      <c r="A16" s="954" t="s">
        <v>442</v>
      </c>
      <c r="B16" s="944" t="s">
        <v>443</v>
      </c>
      <c r="C16" s="954" t="s">
        <v>444</v>
      </c>
      <c r="D16" s="949">
        <f>+Ulaz!F16</f>
        <v>0</v>
      </c>
      <c r="E16" s="949">
        <f>+Ulaz!J16</f>
        <v>0</v>
      </c>
      <c r="F16" s="949">
        <f>+Ulaz!N16</f>
        <v>0</v>
      </c>
      <c r="G16" s="949">
        <f>+Ulaz!R16</f>
        <v>0</v>
      </c>
      <c r="H16" s="949">
        <f>+Ulaz!V16</f>
        <v>0</v>
      </c>
      <c r="I16" s="949">
        <f>+Ulaz!Z16</f>
        <v>0</v>
      </c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</row>
    <row r="17" spans="1:20" ht="12.75">
      <c r="A17" s="954"/>
      <c r="B17" s="953" t="s">
        <v>445</v>
      </c>
      <c r="C17" s="954" t="s">
        <v>446</v>
      </c>
      <c r="D17" s="949">
        <f>+Ulaz!F17</f>
        <v>39031</v>
      </c>
      <c r="E17" s="949">
        <f>+Ulaz!J17</f>
        <v>31303</v>
      </c>
      <c r="F17" s="949">
        <f>+Ulaz!N17</f>
        <v>27023</v>
      </c>
      <c r="G17" s="949">
        <f>+Ulaz!R17</f>
        <v>14414</v>
      </c>
      <c r="H17" s="949">
        <f>+Ulaz!V17</f>
        <v>10859</v>
      </c>
      <c r="I17" s="949">
        <f>+Ulaz!Z17</f>
        <v>7751</v>
      </c>
      <c r="J17" s="933"/>
      <c r="K17" s="933"/>
      <c r="L17" s="933"/>
      <c r="M17" s="933"/>
      <c r="N17" s="933"/>
      <c r="O17" s="933"/>
      <c r="P17" s="933"/>
      <c r="Q17" s="933"/>
      <c r="R17" s="933"/>
      <c r="S17" s="933"/>
      <c r="T17" s="933"/>
    </row>
    <row r="18" spans="1:20" ht="12.75">
      <c r="A18" s="954" t="s">
        <v>447</v>
      </c>
      <c r="B18" s="944" t="s">
        <v>448</v>
      </c>
      <c r="C18" s="954" t="s">
        <v>56</v>
      </c>
      <c r="D18" s="949">
        <f>+Ulaz!F18</f>
        <v>19472</v>
      </c>
      <c r="E18" s="949">
        <f>+Ulaz!J18</f>
        <v>17051</v>
      </c>
      <c r="F18" s="949">
        <f>+Ulaz!N18</f>
        <v>12293</v>
      </c>
      <c r="G18" s="949">
        <f>+Ulaz!R18</f>
        <v>5763</v>
      </c>
      <c r="H18" s="949">
        <f>+Ulaz!V18</f>
        <v>3840</v>
      </c>
      <c r="I18" s="949">
        <f>+Ulaz!Z18</f>
        <v>2435</v>
      </c>
      <c r="J18" s="933"/>
      <c r="K18" s="933"/>
      <c r="L18" s="933"/>
      <c r="M18" s="933"/>
      <c r="N18" s="933"/>
      <c r="O18" s="933"/>
      <c r="P18" s="933"/>
      <c r="Q18" s="933"/>
      <c r="R18" s="933"/>
      <c r="S18" s="933"/>
      <c r="T18" s="933"/>
    </row>
    <row r="19" spans="1:20" ht="12.75">
      <c r="A19" s="954" t="s">
        <v>449</v>
      </c>
      <c r="B19" s="944" t="s">
        <v>450</v>
      </c>
      <c r="C19" s="954" t="s">
        <v>57</v>
      </c>
      <c r="D19" s="949">
        <f>+Ulaz!F19</f>
        <v>2251</v>
      </c>
      <c r="E19" s="949">
        <f>+Ulaz!J19</f>
        <v>1946</v>
      </c>
      <c r="F19" s="949">
        <f>+Ulaz!N19</f>
        <v>1588</v>
      </c>
      <c r="G19" s="949">
        <f>+Ulaz!R19</f>
        <v>832</v>
      </c>
      <c r="H19" s="949">
        <f>+Ulaz!V19</f>
        <v>613</v>
      </c>
      <c r="I19" s="949">
        <f>+Ulaz!Z19</f>
        <v>426</v>
      </c>
      <c r="J19" s="933"/>
      <c r="K19" s="933"/>
      <c r="L19" s="933"/>
      <c r="M19" s="933"/>
      <c r="N19" s="933"/>
      <c r="O19" s="933"/>
      <c r="P19" s="933"/>
      <c r="Q19" s="933"/>
      <c r="R19" s="933"/>
      <c r="S19" s="933"/>
      <c r="T19" s="933"/>
    </row>
    <row r="20" spans="1:20" ht="12.75">
      <c r="A20" s="954" t="s">
        <v>451</v>
      </c>
      <c r="B20" s="944" t="s">
        <v>452</v>
      </c>
      <c r="C20" s="954" t="s">
        <v>593</v>
      </c>
      <c r="D20" s="949">
        <f>+Ulaz!F20</f>
        <v>17308</v>
      </c>
      <c r="E20" s="949">
        <f>+Ulaz!J20</f>
        <v>12306</v>
      </c>
      <c r="F20" s="949">
        <f>+Ulaz!N20</f>
        <v>12220</v>
      </c>
      <c r="G20" s="949">
        <f>+Ulaz!R20</f>
        <v>7387</v>
      </c>
      <c r="H20" s="949">
        <f>+Ulaz!V20</f>
        <v>6406</v>
      </c>
      <c r="I20" s="949">
        <f>+Ulaz!Z20</f>
        <v>4890</v>
      </c>
      <c r="J20" s="933"/>
      <c r="K20" s="933"/>
      <c r="L20" s="933"/>
      <c r="M20" s="933"/>
      <c r="N20" s="933"/>
      <c r="O20" s="933"/>
      <c r="P20" s="933"/>
      <c r="Q20" s="933"/>
      <c r="R20" s="933"/>
      <c r="S20" s="933"/>
      <c r="T20" s="933"/>
    </row>
    <row r="21" spans="1:20" ht="12.75">
      <c r="A21" s="954" t="s">
        <v>453</v>
      </c>
      <c r="B21" s="944" t="s">
        <v>454</v>
      </c>
      <c r="C21" s="954" t="s">
        <v>594</v>
      </c>
      <c r="D21" s="949">
        <f>+Ulaz!F21</f>
        <v>0</v>
      </c>
      <c r="E21" s="949">
        <f>+Ulaz!J21</f>
        <v>0</v>
      </c>
      <c r="F21" s="949">
        <f>+Ulaz!N21</f>
        <v>0</v>
      </c>
      <c r="G21" s="949">
        <f>+Ulaz!R21</f>
        <v>0</v>
      </c>
      <c r="H21" s="949">
        <f>+Ulaz!V21</f>
        <v>0</v>
      </c>
      <c r="I21" s="949">
        <f>+Ulaz!Z21</f>
        <v>0</v>
      </c>
      <c r="J21" s="933"/>
      <c r="K21" s="933"/>
      <c r="L21" s="933"/>
      <c r="M21" s="933"/>
      <c r="N21" s="933"/>
      <c r="O21" s="933"/>
      <c r="P21" s="933"/>
      <c r="Q21" s="933"/>
      <c r="R21" s="933"/>
      <c r="S21" s="933"/>
      <c r="T21" s="933"/>
    </row>
    <row r="22" spans="1:20" ht="12.75">
      <c r="A22" s="954" t="s">
        <v>890</v>
      </c>
      <c r="B22" s="944" t="s">
        <v>455</v>
      </c>
      <c r="C22" s="954" t="s">
        <v>595</v>
      </c>
      <c r="D22" s="949">
        <f>+Ulaz!F22</f>
        <v>0</v>
      </c>
      <c r="E22" s="949">
        <f>+Ulaz!J22</f>
        <v>0</v>
      </c>
      <c r="F22" s="949">
        <f>+Ulaz!N22</f>
        <v>0</v>
      </c>
      <c r="G22" s="949">
        <f>+Ulaz!R22</f>
        <v>0</v>
      </c>
      <c r="H22" s="949">
        <f>+Ulaz!V22</f>
        <v>0</v>
      </c>
      <c r="I22" s="949">
        <f>+Ulaz!Z22</f>
        <v>0</v>
      </c>
      <c r="J22" s="933"/>
      <c r="K22" s="933"/>
      <c r="L22" s="933"/>
      <c r="M22" s="933"/>
      <c r="N22" s="933"/>
      <c r="O22" s="933"/>
      <c r="P22" s="933"/>
      <c r="Q22" s="933"/>
      <c r="R22" s="933"/>
      <c r="S22" s="933"/>
      <c r="T22" s="933"/>
    </row>
    <row r="23" spans="1:20" ht="12.75">
      <c r="A23" s="954" t="s">
        <v>456</v>
      </c>
      <c r="B23" s="944" t="s">
        <v>457</v>
      </c>
      <c r="C23" s="954" t="s">
        <v>596</v>
      </c>
      <c r="D23" s="949">
        <f>+Ulaz!F23</f>
        <v>0</v>
      </c>
      <c r="E23" s="949">
        <f>+Ulaz!J23</f>
        <v>0</v>
      </c>
      <c r="F23" s="949">
        <f>+Ulaz!N23</f>
        <v>0</v>
      </c>
      <c r="G23" s="949">
        <f>+Ulaz!R23</f>
        <v>0</v>
      </c>
      <c r="H23" s="949">
        <f>+Ulaz!V23</f>
        <v>0</v>
      </c>
      <c r="I23" s="949">
        <f>+Ulaz!Z23</f>
        <v>0</v>
      </c>
      <c r="J23" s="933"/>
      <c r="K23" s="933"/>
      <c r="L23" s="933"/>
      <c r="M23" s="933"/>
      <c r="N23" s="933"/>
      <c r="O23" s="933"/>
      <c r="P23" s="933"/>
      <c r="Q23" s="933"/>
      <c r="R23" s="933"/>
      <c r="S23" s="933"/>
      <c r="T23" s="933"/>
    </row>
    <row r="24" spans="1:20" ht="12.75">
      <c r="A24" s="954" t="s">
        <v>458</v>
      </c>
      <c r="B24" s="944" t="s">
        <v>459</v>
      </c>
      <c r="C24" s="954" t="s">
        <v>597</v>
      </c>
      <c r="D24" s="949">
        <f>+Ulaz!F24</f>
        <v>0</v>
      </c>
      <c r="E24" s="949">
        <f>+Ulaz!J24</f>
        <v>0</v>
      </c>
      <c r="F24" s="949">
        <f>+Ulaz!N24</f>
        <v>922</v>
      </c>
      <c r="G24" s="949">
        <f>+Ulaz!R24</f>
        <v>432</v>
      </c>
      <c r="H24" s="949">
        <f>+Ulaz!V24</f>
        <v>0</v>
      </c>
      <c r="I24" s="949">
        <f>+Ulaz!Z24</f>
        <v>0</v>
      </c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3"/>
    </row>
    <row r="25" spans="1:20" ht="12.75">
      <c r="A25" s="954"/>
      <c r="B25" s="953" t="s">
        <v>460</v>
      </c>
      <c r="C25" s="954" t="s">
        <v>598</v>
      </c>
      <c r="D25" s="949">
        <f>+Ulaz!F25</f>
        <v>7193</v>
      </c>
      <c r="E25" s="949">
        <f>+Ulaz!J25</f>
        <v>6438</v>
      </c>
      <c r="F25" s="949">
        <f>+Ulaz!N25</f>
        <v>4640</v>
      </c>
      <c r="G25" s="949">
        <f>+Ulaz!R25</f>
        <v>1763</v>
      </c>
      <c r="H25" s="949">
        <f>+Ulaz!V25</f>
        <v>296</v>
      </c>
      <c r="I25" s="949">
        <f>+Ulaz!Z25</f>
        <v>16</v>
      </c>
      <c r="J25" s="933"/>
      <c r="K25" s="933"/>
      <c r="L25" s="933"/>
      <c r="M25" s="933"/>
      <c r="N25" s="933"/>
      <c r="O25" s="933"/>
      <c r="P25" s="933"/>
      <c r="Q25" s="933"/>
      <c r="R25" s="933"/>
      <c r="S25" s="933"/>
      <c r="T25" s="933"/>
    </row>
    <row r="26" spans="1:20" ht="12.75">
      <c r="A26" s="954" t="s">
        <v>461</v>
      </c>
      <c r="B26" s="944" t="s">
        <v>462</v>
      </c>
      <c r="C26" s="954" t="s">
        <v>463</v>
      </c>
      <c r="D26" s="949">
        <f>+Ulaz!F26</f>
        <v>0</v>
      </c>
      <c r="E26" s="949">
        <f>+Ulaz!J26</f>
        <v>0</v>
      </c>
      <c r="F26" s="949">
        <f>+Ulaz!N26</f>
        <v>0</v>
      </c>
      <c r="G26" s="949">
        <f>+Ulaz!R26</f>
        <v>0</v>
      </c>
      <c r="H26" s="949">
        <f>+Ulaz!V26</f>
        <v>296</v>
      </c>
      <c r="I26" s="949">
        <f>+Ulaz!Z26</f>
        <v>16</v>
      </c>
      <c r="J26" s="933"/>
      <c r="K26" s="933"/>
      <c r="L26" s="933"/>
      <c r="M26" s="933"/>
      <c r="N26" s="933"/>
      <c r="O26" s="933"/>
      <c r="P26" s="933"/>
      <c r="Q26" s="933"/>
      <c r="R26" s="933"/>
      <c r="S26" s="933"/>
      <c r="T26" s="933"/>
    </row>
    <row r="27" spans="1:20" ht="12.75">
      <c r="A27" s="954" t="s">
        <v>464</v>
      </c>
      <c r="B27" s="944" t="s">
        <v>465</v>
      </c>
      <c r="C27" s="954" t="s">
        <v>599</v>
      </c>
      <c r="D27" s="949">
        <f>+Ulaz!F27</f>
        <v>7193</v>
      </c>
      <c r="E27" s="949">
        <f>+Ulaz!J27</f>
        <v>6438</v>
      </c>
      <c r="F27" s="949">
        <f>+Ulaz!N27</f>
        <v>4640</v>
      </c>
      <c r="G27" s="949">
        <f>+Ulaz!R27</f>
        <v>1763</v>
      </c>
      <c r="H27" s="949">
        <f>+Ulaz!V27</f>
        <v>0</v>
      </c>
      <c r="I27" s="949">
        <f>+Ulaz!Z27</f>
        <v>0</v>
      </c>
      <c r="J27" s="933"/>
      <c r="K27" s="933"/>
      <c r="L27" s="933"/>
      <c r="M27" s="933"/>
      <c r="N27" s="933"/>
      <c r="O27" s="933"/>
      <c r="P27" s="933"/>
      <c r="Q27" s="933"/>
      <c r="R27" s="933"/>
      <c r="S27" s="933"/>
      <c r="T27" s="933"/>
    </row>
    <row r="28" spans="1:20" ht="12.75">
      <c r="A28" s="954" t="s">
        <v>466</v>
      </c>
      <c r="B28" s="944" t="s">
        <v>467</v>
      </c>
      <c r="C28" s="954" t="s">
        <v>600</v>
      </c>
      <c r="D28" s="949">
        <f>+Ulaz!F28</f>
        <v>0</v>
      </c>
      <c r="E28" s="949">
        <f>+Ulaz!J28</f>
        <v>0</v>
      </c>
      <c r="F28" s="949">
        <f>+Ulaz!N28</f>
        <v>0</v>
      </c>
      <c r="G28" s="949">
        <f>+Ulaz!R28</f>
        <v>0</v>
      </c>
      <c r="H28" s="949">
        <f>+Ulaz!V28</f>
        <v>0</v>
      </c>
      <c r="I28" s="949">
        <f>+Ulaz!Z28</f>
        <v>0</v>
      </c>
      <c r="J28" s="933"/>
      <c r="K28" s="933"/>
      <c r="L28" s="933"/>
      <c r="M28" s="933"/>
      <c r="N28" s="933"/>
      <c r="O28" s="933"/>
      <c r="P28" s="933"/>
      <c r="Q28" s="933"/>
      <c r="R28" s="933"/>
      <c r="S28" s="933"/>
      <c r="T28" s="933"/>
    </row>
    <row r="29" spans="1:20" ht="12.75">
      <c r="A29" s="954" t="s">
        <v>468</v>
      </c>
      <c r="B29" s="944" t="s">
        <v>469</v>
      </c>
      <c r="C29" s="954" t="s">
        <v>470</v>
      </c>
      <c r="D29" s="949">
        <f>+Ulaz!F29</f>
        <v>0</v>
      </c>
      <c r="E29" s="949">
        <f>+Ulaz!J29</f>
        <v>0</v>
      </c>
      <c r="F29" s="949">
        <f>+Ulaz!N29</f>
        <v>0</v>
      </c>
      <c r="G29" s="949">
        <f>+Ulaz!R29</f>
        <v>0</v>
      </c>
      <c r="H29" s="949">
        <f>+Ulaz!V29</f>
        <v>0</v>
      </c>
      <c r="I29" s="949">
        <f>+Ulaz!Z29</f>
        <v>0</v>
      </c>
      <c r="J29" s="933"/>
      <c r="K29" s="933"/>
      <c r="L29" s="933"/>
      <c r="M29" s="933"/>
      <c r="N29" s="933"/>
      <c r="O29" s="933"/>
      <c r="P29" s="933"/>
      <c r="Q29" s="933"/>
      <c r="R29" s="933"/>
      <c r="S29" s="933"/>
      <c r="T29" s="933"/>
    </row>
    <row r="30" spans="1:20" ht="12.75">
      <c r="A30" s="954" t="s">
        <v>471</v>
      </c>
      <c r="B30" s="944" t="s">
        <v>472</v>
      </c>
      <c r="C30" s="954" t="s">
        <v>449</v>
      </c>
      <c r="D30" s="949">
        <f>+Ulaz!F30</f>
        <v>0</v>
      </c>
      <c r="E30" s="949">
        <f>+Ulaz!J30</f>
        <v>0</v>
      </c>
      <c r="F30" s="949">
        <f>+Ulaz!N30</f>
        <v>0</v>
      </c>
      <c r="G30" s="949">
        <f>+Ulaz!R30</f>
        <v>0</v>
      </c>
      <c r="H30" s="949">
        <f>+Ulaz!V30</f>
        <v>0</v>
      </c>
      <c r="I30" s="949">
        <f>+Ulaz!Z30</f>
        <v>0</v>
      </c>
      <c r="J30" s="933"/>
      <c r="K30" s="933"/>
      <c r="L30" s="933"/>
      <c r="M30" s="933"/>
      <c r="N30" s="933"/>
      <c r="O30" s="933"/>
      <c r="P30" s="933"/>
      <c r="Q30" s="933"/>
      <c r="R30" s="933"/>
      <c r="S30" s="933"/>
      <c r="T30" s="933"/>
    </row>
    <row r="31" spans="1:20" ht="12.75">
      <c r="A31" s="954" t="s">
        <v>473</v>
      </c>
      <c r="B31" s="944" t="s">
        <v>474</v>
      </c>
      <c r="C31" s="954" t="s">
        <v>451</v>
      </c>
      <c r="D31" s="949">
        <f>+Ulaz!F31</f>
        <v>0</v>
      </c>
      <c r="E31" s="949">
        <f>+Ulaz!J31</f>
        <v>0</v>
      </c>
      <c r="F31" s="949">
        <f>+Ulaz!N31</f>
        <v>0</v>
      </c>
      <c r="G31" s="949">
        <f>+Ulaz!R31</f>
        <v>0</v>
      </c>
      <c r="H31" s="949">
        <f>+Ulaz!V31</f>
        <v>0</v>
      </c>
      <c r="I31" s="949">
        <f>+Ulaz!Z31</f>
        <v>0</v>
      </c>
      <c r="J31" s="933"/>
      <c r="K31" s="933"/>
      <c r="L31" s="933"/>
      <c r="M31" s="933"/>
      <c r="N31" s="933"/>
      <c r="O31" s="933"/>
      <c r="P31" s="933"/>
      <c r="Q31" s="933"/>
      <c r="R31" s="933"/>
      <c r="S31" s="933"/>
      <c r="T31" s="933"/>
    </row>
    <row r="32" spans="1:20" ht="12.75">
      <c r="A32" s="954" t="s">
        <v>475</v>
      </c>
      <c r="B32" s="944" t="s">
        <v>476</v>
      </c>
      <c r="C32" s="954" t="s">
        <v>453</v>
      </c>
      <c r="D32" s="949">
        <f>+Ulaz!F32</f>
        <v>0</v>
      </c>
      <c r="E32" s="949">
        <f>+Ulaz!J32</f>
        <v>0</v>
      </c>
      <c r="F32" s="949">
        <f>+Ulaz!N32</f>
        <v>0</v>
      </c>
      <c r="G32" s="949">
        <f>+Ulaz!R32</f>
        <v>0</v>
      </c>
      <c r="H32" s="949">
        <f>+Ulaz!V32</f>
        <v>0</v>
      </c>
      <c r="I32" s="949">
        <f>+Ulaz!Z32</f>
        <v>0</v>
      </c>
      <c r="J32" s="933"/>
      <c r="K32" s="933"/>
      <c r="L32" s="933"/>
      <c r="M32" s="933"/>
      <c r="N32" s="933"/>
      <c r="O32" s="933"/>
      <c r="P32" s="933"/>
      <c r="Q32" s="933"/>
      <c r="R32" s="933"/>
      <c r="S32" s="933"/>
      <c r="T32" s="933"/>
    </row>
    <row r="33" spans="1:20" ht="12.75">
      <c r="A33" s="954"/>
      <c r="B33" s="953" t="s">
        <v>477</v>
      </c>
      <c r="C33" s="957" t="s">
        <v>453</v>
      </c>
      <c r="D33" s="949">
        <f>+Ulaz!F33</f>
        <v>20877</v>
      </c>
      <c r="E33" s="949">
        <f>+Ulaz!J33</f>
        <v>12315</v>
      </c>
      <c r="F33" s="949">
        <f>+Ulaz!N33</f>
        <v>8535</v>
      </c>
      <c r="G33" s="949">
        <f>+Ulaz!R33</f>
        <v>5251</v>
      </c>
      <c r="H33" s="949">
        <f>+Ulaz!V33</f>
        <v>4424</v>
      </c>
      <c r="I33" s="949">
        <f>+Ulaz!Z33</f>
        <v>3149</v>
      </c>
      <c r="J33" s="933"/>
      <c r="K33" s="933"/>
      <c r="L33" s="933"/>
      <c r="M33" s="933"/>
      <c r="N33" s="933"/>
      <c r="O33" s="933"/>
      <c r="P33" s="933"/>
      <c r="Q33" s="933"/>
      <c r="R33" s="933"/>
      <c r="S33" s="933"/>
      <c r="T33" s="933"/>
    </row>
    <row r="34" spans="1:20" ht="12.75">
      <c r="A34" s="954"/>
      <c r="B34" s="953" t="s">
        <v>479</v>
      </c>
      <c r="C34" s="957" t="s">
        <v>478</v>
      </c>
      <c r="D34" s="949">
        <f>+Ulaz!F34</f>
        <v>4228</v>
      </c>
      <c r="E34" s="949">
        <f>+Ulaz!J34</f>
        <v>1444</v>
      </c>
      <c r="F34" s="949">
        <f>+Ulaz!N34</f>
        <v>963</v>
      </c>
      <c r="G34" s="949">
        <f>+Ulaz!R34</f>
        <v>527</v>
      </c>
      <c r="H34" s="949">
        <f>+Ulaz!V34</f>
        <v>666</v>
      </c>
      <c r="I34" s="949">
        <f>+Ulaz!Z34</f>
        <v>274</v>
      </c>
      <c r="J34" s="933"/>
      <c r="K34" s="933"/>
      <c r="L34" s="933"/>
      <c r="M34" s="933"/>
      <c r="N34" s="933"/>
      <c r="O34" s="933"/>
      <c r="P34" s="933"/>
      <c r="Q34" s="933"/>
      <c r="R34" s="933"/>
      <c r="S34" s="933"/>
      <c r="T34" s="933"/>
    </row>
    <row r="35" spans="1:20" ht="12.75">
      <c r="A35" s="954" t="s">
        <v>1125</v>
      </c>
      <c r="B35" s="944" t="s">
        <v>480</v>
      </c>
      <c r="C35" s="957" t="s">
        <v>890</v>
      </c>
      <c r="D35" s="949">
        <f>+Ulaz!F35</f>
        <v>4065</v>
      </c>
      <c r="E35" s="949">
        <f>+Ulaz!J35</f>
        <v>1429</v>
      </c>
      <c r="F35" s="949">
        <f>+Ulaz!N35</f>
        <v>963</v>
      </c>
      <c r="G35" s="949">
        <f>+Ulaz!R35</f>
        <v>524</v>
      </c>
      <c r="H35" s="949">
        <f>+Ulaz!V35</f>
        <v>662</v>
      </c>
      <c r="I35" s="949">
        <f>+Ulaz!Z35</f>
        <v>270</v>
      </c>
      <c r="J35" s="933"/>
      <c r="K35" s="933"/>
      <c r="L35" s="933"/>
      <c r="M35" s="933"/>
      <c r="N35" s="933"/>
      <c r="O35" s="933"/>
      <c r="P35" s="933"/>
      <c r="Q35" s="933"/>
      <c r="R35" s="933"/>
      <c r="S35" s="933"/>
      <c r="T35" s="933"/>
    </row>
    <row r="36" spans="1:20" ht="12.75">
      <c r="A36" s="954" t="s">
        <v>1138</v>
      </c>
      <c r="B36" s="944" t="s">
        <v>481</v>
      </c>
      <c r="C36" s="957" t="s">
        <v>456</v>
      </c>
      <c r="D36" s="949">
        <f>+Ulaz!F36</f>
        <v>0</v>
      </c>
      <c r="E36" s="949">
        <f>+Ulaz!J36</f>
        <v>0</v>
      </c>
      <c r="F36" s="949">
        <f>+Ulaz!N36</f>
        <v>0</v>
      </c>
      <c r="G36" s="949">
        <f>+Ulaz!R36</f>
        <v>0</v>
      </c>
      <c r="H36" s="949">
        <f>+Ulaz!V36</f>
        <v>0</v>
      </c>
      <c r="I36" s="949">
        <f>+Ulaz!Z36</f>
        <v>0</v>
      </c>
      <c r="J36" s="933"/>
      <c r="K36" s="933"/>
      <c r="L36" s="933"/>
      <c r="M36" s="933"/>
      <c r="N36" s="933"/>
      <c r="O36" s="933"/>
      <c r="P36" s="933"/>
      <c r="Q36" s="933"/>
      <c r="R36" s="933"/>
      <c r="S36" s="933"/>
      <c r="T36" s="933"/>
    </row>
    <row r="37" spans="1:20" ht="12.75">
      <c r="A37" s="954" t="s">
        <v>1139</v>
      </c>
      <c r="B37" s="944" t="s">
        <v>483</v>
      </c>
      <c r="C37" s="957" t="s">
        <v>482</v>
      </c>
      <c r="D37" s="949">
        <f>+Ulaz!F37</f>
        <v>0</v>
      </c>
      <c r="E37" s="949">
        <f>+Ulaz!J37</f>
        <v>0</v>
      </c>
      <c r="F37" s="949">
        <f>+Ulaz!N37</f>
        <v>0</v>
      </c>
      <c r="G37" s="949">
        <f>+Ulaz!R37</f>
        <v>0</v>
      </c>
      <c r="H37" s="949">
        <f>+Ulaz!V37</f>
        <v>0</v>
      </c>
      <c r="I37" s="949">
        <f>+Ulaz!Z37</f>
        <v>0</v>
      </c>
      <c r="J37" s="933"/>
      <c r="K37" s="933"/>
      <c r="L37" s="933"/>
      <c r="M37" s="933"/>
      <c r="N37" s="933"/>
      <c r="O37" s="933"/>
      <c r="P37" s="933"/>
      <c r="Q37" s="933"/>
      <c r="R37" s="933"/>
      <c r="S37" s="933"/>
      <c r="T37" s="933"/>
    </row>
    <row r="38" spans="1:20" ht="12.75">
      <c r="A38" s="954" t="s">
        <v>1140</v>
      </c>
      <c r="B38" s="944" t="s">
        <v>485</v>
      </c>
      <c r="C38" s="957" t="s">
        <v>484</v>
      </c>
      <c r="D38" s="949">
        <f>+Ulaz!F38</f>
        <v>0</v>
      </c>
      <c r="E38" s="949">
        <f>+Ulaz!J38</f>
        <v>0</v>
      </c>
      <c r="F38" s="949">
        <f>+Ulaz!N38</f>
        <v>0</v>
      </c>
      <c r="G38" s="949">
        <f>+Ulaz!R38</f>
        <v>3</v>
      </c>
      <c r="H38" s="949">
        <f>+Ulaz!V38</f>
        <v>0</v>
      </c>
      <c r="I38" s="949">
        <f>+Ulaz!Z38</f>
        <v>0</v>
      </c>
      <c r="J38" s="933"/>
      <c r="K38" s="933"/>
      <c r="L38" s="933"/>
      <c r="M38" s="933"/>
      <c r="N38" s="933"/>
      <c r="O38" s="933"/>
      <c r="P38" s="933"/>
      <c r="Q38" s="933"/>
      <c r="R38" s="933"/>
      <c r="S38" s="933"/>
      <c r="T38" s="933"/>
    </row>
    <row r="39" spans="1:20" ht="12.75">
      <c r="A39" s="954" t="s">
        <v>1141</v>
      </c>
      <c r="B39" s="944" t="s">
        <v>486</v>
      </c>
      <c r="C39" s="957" t="s">
        <v>461</v>
      </c>
      <c r="D39" s="949">
        <f>+Ulaz!F39</f>
        <v>163</v>
      </c>
      <c r="E39" s="949">
        <f>+Ulaz!J39</f>
        <v>15</v>
      </c>
      <c r="F39" s="949">
        <f>+Ulaz!N39</f>
        <v>0</v>
      </c>
      <c r="G39" s="949">
        <f>+Ulaz!R39</f>
        <v>0</v>
      </c>
      <c r="H39" s="949">
        <f>+Ulaz!V39</f>
        <v>4</v>
      </c>
      <c r="I39" s="949">
        <f>+Ulaz!Z39</f>
        <v>4</v>
      </c>
      <c r="J39" s="933"/>
      <c r="K39" s="933"/>
      <c r="L39" s="933"/>
      <c r="M39" s="933"/>
      <c r="N39" s="933"/>
      <c r="O39" s="933"/>
      <c r="P39" s="933"/>
      <c r="Q39" s="933"/>
      <c r="R39" s="933"/>
      <c r="S39" s="933"/>
      <c r="T39" s="933"/>
    </row>
    <row r="40" spans="1:20" ht="12.75">
      <c r="A40" s="954"/>
      <c r="B40" s="953" t="s">
        <v>487</v>
      </c>
      <c r="C40" s="957" t="s">
        <v>464</v>
      </c>
      <c r="D40" s="949">
        <f>+Ulaz!F40</f>
        <v>16330</v>
      </c>
      <c r="E40" s="949">
        <f>+Ulaz!J40</f>
        <v>10807</v>
      </c>
      <c r="F40" s="949">
        <f>+Ulaz!N40</f>
        <v>7427</v>
      </c>
      <c r="G40" s="949">
        <f>+Ulaz!R40</f>
        <v>4285</v>
      </c>
      <c r="H40" s="949">
        <f>+Ulaz!V40</f>
        <v>3518</v>
      </c>
      <c r="I40" s="949">
        <f>+Ulaz!Z40</f>
        <v>2619</v>
      </c>
      <c r="J40" s="933"/>
      <c r="K40" s="933"/>
      <c r="L40" s="933"/>
      <c r="M40" s="933"/>
      <c r="N40" s="933"/>
      <c r="O40" s="933"/>
      <c r="P40" s="933"/>
      <c r="Q40" s="933"/>
      <c r="R40" s="933"/>
      <c r="S40" s="933"/>
      <c r="T40" s="933"/>
    </row>
    <row r="41" spans="1:20" ht="12.75">
      <c r="A41" s="954"/>
      <c r="B41" s="953" t="s">
        <v>488</v>
      </c>
      <c r="C41" s="957" t="s">
        <v>466</v>
      </c>
      <c r="D41" s="949">
        <f>+Ulaz!F41</f>
        <v>16330</v>
      </c>
      <c r="E41" s="949">
        <f>+Ulaz!J41</f>
        <v>9799</v>
      </c>
      <c r="F41" s="949">
        <f>+Ulaz!N41</f>
        <v>7427</v>
      </c>
      <c r="G41" s="949">
        <f>+Ulaz!R41</f>
        <v>4285</v>
      </c>
      <c r="H41" s="949">
        <f>+Ulaz!V41</f>
        <v>2316</v>
      </c>
      <c r="I41" s="949">
        <f>+Ulaz!Z41</f>
        <v>2619</v>
      </c>
      <c r="J41" s="933"/>
      <c r="K41" s="933"/>
      <c r="L41" s="933"/>
      <c r="M41" s="933"/>
      <c r="N41" s="933"/>
      <c r="O41" s="933"/>
      <c r="P41" s="933"/>
      <c r="Q41" s="933"/>
      <c r="R41" s="933"/>
      <c r="S41" s="933"/>
      <c r="T41" s="933"/>
    </row>
    <row r="42" spans="1:20" ht="12.75">
      <c r="A42" s="954" t="s">
        <v>490</v>
      </c>
      <c r="B42" s="944" t="s">
        <v>491</v>
      </c>
      <c r="C42" s="957" t="s">
        <v>489</v>
      </c>
      <c r="D42" s="949">
        <f>+Ulaz!F42</f>
        <v>0</v>
      </c>
      <c r="E42" s="949">
        <f>+Ulaz!J42</f>
        <v>0</v>
      </c>
      <c r="F42" s="949">
        <f>+Ulaz!N42</f>
        <v>0</v>
      </c>
      <c r="G42" s="949">
        <f>+Ulaz!R42</f>
        <v>0</v>
      </c>
      <c r="H42" s="949">
        <f>+Ulaz!V42</f>
        <v>0</v>
      </c>
      <c r="I42" s="949">
        <f>+Ulaz!Z42</f>
        <v>0</v>
      </c>
      <c r="J42" s="933"/>
      <c r="K42" s="933"/>
      <c r="L42" s="933"/>
      <c r="M42" s="933"/>
      <c r="N42" s="933"/>
      <c r="O42" s="933"/>
      <c r="P42" s="933"/>
      <c r="Q42" s="933"/>
      <c r="R42" s="933"/>
      <c r="S42" s="933"/>
      <c r="T42" s="933"/>
    </row>
    <row r="43" spans="1:20" ht="12.75">
      <c r="A43" s="954" t="s">
        <v>493</v>
      </c>
      <c r="B43" s="944" t="s">
        <v>494</v>
      </c>
      <c r="C43" s="957" t="s">
        <v>492</v>
      </c>
      <c r="D43" s="949">
        <f>+Ulaz!F43</f>
        <v>16309</v>
      </c>
      <c r="E43" s="949">
        <f>+Ulaz!J43</f>
        <v>9537</v>
      </c>
      <c r="F43" s="949">
        <f>+Ulaz!N43</f>
        <v>7406</v>
      </c>
      <c r="G43" s="949">
        <f>+Ulaz!R43</f>
        <v>4231</v>
      </c>
      <c r="H43" s="949">
        <f>+Ulaz!V43</f>
        <v>2273</v>
      </c>
      <c r="I43" s="949">
        <f>+Ulaz!Z43</f>
        <v>2600</v>
      </c>
      <c r="J43" s="933"/>
      <c r="K43" s="933"/>
      <c r="L43" s="933"/>
      <c r="M43" s="933"/>
      <c r="N43" s="933"/>
      <c r="O43" s="933"/>
      <c r="P43" s="933"/>
      <c r="Q43" s="933"/>
      <c r="R43" s="933"/>
      <c r="S43" s="933"/>
      <c r="T43" s="933"/>
    </row>
    <row r="44" spans="1:20" ht="12.75">
      <c r="A44" s="954" t="s">
        <v>1142</v>
      </c>
      <c r="B44" s="944" t="s">
        <v>495</v>
      </c>
      <c r="C44" s="957" t="s">
        <v>471</v>
      </c>
      <c r="D44" s="949">
        <f>+Ulaz!F44</f>
        <v>10</v>
      </c>
      <c r="E44" s="949">
        <f>+Ulaz!J44</f>
        <v>227</v>
      </c>
      <c r="F44" s="949">
        <f>+Ulaz!N44</f>
        <v>10</v>
      </c>
      <c r="G44" s="949">
        <f>+Ulaz!R44</f>
        <v>45</v>
      </c>
      <c r="H44" s="949">
        <f>+Ulaz!V44</f>
        <v>33</v>
      </c>
      <c r="I44" s="949">
        <f>+Ulaz!Z44</f>
        <v>10</v>
      </c>
      <c r="J44" s="933"/>
      <c r="K44" s="933"/>
      <c r="L44" s="933"/>
      <c r="M44" s="933"/>
      <c r="N44" s="933"/>
      <c r="O44" s="933"/>
      <c r="P44" s="933"/>
      <c r="Q44" s="933"/>
      <c r="R44" s="933"/>
      <c r="S44" s="933"/>
      <c r="T44" s="933"/>
    </row>
    <row r="45" spans="1:20" ht="12.75">
      <c r="A45" s="954" t="s">
        <v>496</v>
      </c>
      <c r="B45" s="944" t="s">
        <v>497</v>
      </c>
      <c r="C45" s="957" t="s">
        <v>473</v>
      </c>
      <c r="D45" s="949">
        <f>+Ulaz!F45</f>
        <v>11</v>
      </c>
      <c r="E45" s="949">
        <f>+Ulaz!J45</f>
        <v>35</v>
      </c>
      <c r="F45" s="949">
        <f>+Ulaz!N45</f>
        <v>11</v>
      </c>
      <c r="G45" s="949">
        <f>+Ulaz!R45</f>
        <v>9</v>
      </c>
      <c r="H45" s="949">
        <f>+Ulaz!V45</f>
        <v>10</v>
      </c>
      <c r="I45" s="949">
        <f>+Ulaz!Z45</f>
        <v>9</v>
      </c>
      <c r="J45" s="933"/>
      <c r="K45" s="933"/>
      <c r="L45" s="933"/>
      <c r="M45" s="933"/>
      <c r="N45" s="933"/>
      <c r="O45" s="933"/>
      <c r="P45" s="933"/>
      <c r="Q45" s="933"/>
      <c r="R45" s="933"/>
      <c r="S45" s="933"/>
      <c r="T45" s="933"/>
    </row>
    <row r="46" spans="1:20" ht="12.75">
      <c r="A46" s="954"/>
      <c r="B46" s="953" t="s">
        <v>499</v>
      </c>
      <c r="C46" s="957" t="s">
        <v>498</v>
      </c>
      <c r="D46" s="949">
        <f>+Ulaz!F46</f>
        <v>0</v>
      </c>
      <c r="E46" s="949">
        <f>+Ulaz!J46</f>
        <v>1008</v>
      </c>
      <c r="F46" s="949">
        <f>+Ulaz!N46</f>
        <v>0</v>
      </c>
      <c r="G46" s="949">
        <f>+Ulaz!R46</f>
        <v>0</v>
      </c>
      <c r="H46" s="949">
        <f>+Ulaz!V46</f>
        <v>1202</v>
      </c>
      <c r="I46" s="949">
        <f>+Ulaz!Z46</f>
        <v>0</v>
      </c>
      <c r="J46" s="933"/>
      <c r="K46" s="933"/>
      <c r="L46" s="933"/>
      <c r="M46" s="933"/>
      <c r="N46" s="933"/>
      <c r="O46" s="933"/>
      <c r="P46" s="933"/>
      <c r="Q46" s="933"/>
      <c r="R46" s="933"/>
      <c r="S46" s="933"/>
      <c r="T46" s="933"/>
    </row>
    <row r="47" spans="1:20" ht="12.75">
      <c r="A47" s="954" t="s">
        <v>1143</v>
      </c>
      <c r="B47" s="944" t="s">
        <v>501</v>
      </c>
      <c r="C47" s="957" t="s">
        <v>500</v>
      </c>
      <c r="D47" s="949">
        <f>+Ulaz!F47</f>
        <v>0</v>
      </c>
      <c r="E47" s="949">
        <f>+Ulaz!J47</f>
        <v>0</v>
      </c>
      <c r="F47" s="949">
        <f>+Ulaz!N47</f>
        <v>0</v>
      </c>
      <c r="G47" s="949">
        <f>+Ulaz!R47</f>
        <v>0</v>
      </c>
      <c r="H47" s="949">
        <f>+Ulaz!V47</f>
        <v>0</v>
      </c>
      <c r="I47" s="949">
        <f>+Ulaz!Z47</f>
        <v>0</v>
      </c>
      <c r="J47" s="933"/>
      <c r="K47" s="933"/>
      <c r="L47" s="933"/>
      <c r="M47" s="933"/>
      <c r="N47" s="933"/>
      <c r="O47" s="933"/>
      <c r="P47" s="933"/>
      <c r="Q47" s="933"/>
      <c r="R47" s="933"/>
      <c r="S47" s="933"/>
      <c r="T47" s="933"/>
    </row>
    <row r="48" spans="1:20" ht="12.75">
      <c r="A48" s="954" t="s">
        <v>502</v>
      </c>
      <c r="B48" s="944" t="s">
        <v>503</v>
      </c>
      <c r="C48" s="957" t="s">
        <v>475</v>
      </c>
      <c r="D48" s="949">
        <f>+Ulaz!F48</f>
        <v>0</v>
      </c>
      <c r="E48" s="949">
        <f>+Ulaz!J48</f>
        <v>1008</v>
      </c>
      <c r="F48" s="949">
        <f>+Ulaz!N48</f>
        <v>0</v>
      </c>
      <c r="G48" s="949">
        <f>+Ulaz!R48</f>
        <v>0</v>
      </c>
      <c r="H48" s="949">
        <f>+Ulaz!V48</f>
        <v>1202</v>
      </c>
      <c r="I48" s="949">
        <f>+Ulaz!Z48</f>
        <v>0</v>
      </c>
      <c r="J48" s="933"/>
      <c r="K48" s="933"/>
      <c r="L48" s="933"/>
      <c r="M48" s="933"/>
      <c r="N48" s="933"/>
      <c r="O48" s="933"/>
      <c r="P48" s="933"/>
      <c r="Q48" s="933"/>
      <c r="R48" s="933"/>
      <c r="S48" s="933"/>
      <c r="T48" s="933"/>
    </row>
    <row r="49" spans="1:20" ht="12.75">
      <c r="A49" s="954" t="s">
        <v>505</v>
      </c>
      <c r="B49" s="944" t="s">
        <v>506</v>
      </c>
      <c r="C49" s="957" t="s">
        <v>504</v>
      </c>
      <c r="D49" s="949">
        <f>+Ulaz!F49</f>
        <v>0</v>
      </c>
      <c r="E49" s="949">
        <f>+Ulaz!J49</f>
        <v>0</v>
      </c>
      <c r="F49" s="949">
        <f>+Ulaz!N49</f>
        <v>0</v>
      </c>
      <c r="G49" s="949">
        <f>+Ulaz!R49</f>
        <v>0</v>
      </c>
      <c r="H49" s="949">
        <f>+Ulaz!V49</f>
        <v>0</v>
      </c>
      <c r="I49" s="949">
        <f>+Ulaz!Z49</f>
        <v>0</v>
      </c>
      <c r="J49" s="933"/>
      <c r="K49" s="933"/>
      <c r="L49" s="933"/>
      <c r="M49" s="933"/>
      <c r="N49" s="933"/>
      <c r="O49" s="933"/>
      <c r="P49" s="933"/>
      <c r="Q49" s="933"/>
      <c r="R49" s="933"/>
      <c r="S49" s="933"/>
      <c r="T49" s="933"/>
    </row>
    <row r="50" spans="1:20" ht="12.75">
      <c r="A50" s="954" t="s">
        <v>1144</v>
      </c>
      <c r="B50" s="944" t="s">
        <v>508</v>
      </c>
      <c r="C50" s="957" t="s">
        <v>507</v>
      </c>
      <c r="D50" s="949">
        <f>+Ulaz!F50</f>
        <v>0</v>
      </c>
      <c r="E50" s="949">
        <f>+Ulaz!J50</f>
        <v>0</v>
      </c>
      <c r="F50" s="949">
        <f>+Ulaz!N50</f>
        <v>0</v>
      </c>
      <c r="G50" s="949">
        <f>+Ulaz!R50</f>
        <v>0</v>
      </c>
      <c r="H50" s="949">
        <f>+Ulaz!V50</f>
        <v>0</v>
      </c>
      <c r="I50" s="949">
        <f>+Ulaz!Z50</f>
        <v>0</v>
      </c>
      <c r="J50" s="933"/>
      <c r="K50" s="933"/>
      <c r="L50" s="933"/>
      <c r="M50" s="933"/>
      <c r="N50" s="933"/>
      <c r="O50" s="933"/>
      <c r="P50" s="933"/>
      <c r="Q50" s="933"/>
      <c r="R50" s="933"/>
      <c r="S50" s="933"/>
      <c r="T50" s="933"/>
    </row>
    <row r="51" spans="1:20" ht="12.75">
      <c r="A51" s="954" t="s">
        <v>770</v>
      </c>
      <c r="B51" s="944" t="s">
        <v>771</v>
      </c>
      <c r="C51" s="957" t="s">
        <v>509</v>
      </c>
      <c r="D51" s="949">
        <f>+Ulaz!F51</f>
        <v>0</v>
      </c>
      <c r="E51" s="949">
        <f>+Ulaz!J51</f>
        <v>0</v>
      </c>
      <c r="F51" s="949">
        <f>+Ulaz!N51</f>
        <v>0</v>
      </c>
      <c r="G51" s="949">
        <f>+Ulaz!R51</f>
        <v>0</v>
      </c>
      <c r="H51" s="949">
        <f>+Ulaz!V51</f>
        <v>0</v>
      </c>
      <c r="I51" s="949">
        <f>+Ulaz!Z51</f>
        <v>0</v>
      </c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933"/>
    </row>
    <row r="52" spans="1:20" ht="12.75">
      <c r="A52" s="954" t="s">
        <v>1091</v>
      </c>
      <c r="B52" s="944" t="s">
        <v>772</v>
      </c>
      <c r="C52" s="957" t="s">
        <v>511</v>
      </c>
      <c r="D52" s="949">
        <f>+Ulaz!F52</f>
        <v>0</v>
      </c>
      <c r="E52" s="949">
        <f>+Ulaz!J52</f>
        <v>0</v>
      </c>
      <c r="F52" s="949">
        <f>+Ulaz!N52</f>
        <v>0</v>
      </c>
      <c r="G52" s="949">
        <f>+Ulaz!R52</f>
        <v>0</v>
      </c>
      <c r="H52" s="949">
        <f>+Ulaz!V52</f>
        <v>0</v>
      </c>
      <c r="I52" s="949">
        <f>+Ulaz!Z52</f>
        <v>0</v>
      </c>
      <c r="J52" s="933"/>
      <c r="K52" s="933"/>
      <c r="L52" s="933"/>
      <c r="M52" s="933"/>
      <c r="N52" s="933"/>
      <c r="O52" s="933"/>
      <c r="P52" s="933"/>
      <c r="Q52" s="933"/>
      <c r="R52" s="933"/>
      <c r="S52" s="933"/>
      <c r="T52" s="933"/>
    </row>
    <row r="53" spans="1:20" ht="12.75">
      <c r="A53" s="954"/>
      <c r="B53" s="953" t="s">
        <v>512</v>
      </c>
      <c r="C53" s="957" t="s">
        <v>513</v>
      </c>
      <c r="D53" s="949">
        <f>+Ulaz!F53</f>
        <v>319</v>
      </c>
      <c r="E53" s="949">
        <f>+Ulaz!J53</f>
        <v>64</v>
      </c>
      <c r="F53" s="949">
        <f>+Ulaz!N53</f>
        <v>145</v>
      </c>
      <c r="G53" s="949">
        <f>+Ulaz!R53</f>
        <v>439</v>
      </c>
      <c r="H53" s="949">
        <f>+Ulaz!V53</f>
        <v>240</v>
      </c>
      <c r="I53" s="949">
        <f>+Ulaz!Z53</f>
        <v>256</v>
      </c>
      <c r="J53" s="933"/>
      <c r="K53" s="933"/>
      <c r="L53" s="933"/>
      <c r="M53" s="933"/>
      <c r="N53" s="933"/>
      <c r="O53" s="933"/>
      <c r="P53" s="933"/>
      <c r="Q53" s="933"/>
      <c r="R53" s="933"/>
      <c r="S53" s="933"/>
      <c r="T53" s="933"/>
    </row>
    <row r="54" spans="1:20" ht="12.75">
      <c r="A54" s="954" t="s">
        <v>1145</v>
      </c>
      <c r="B54" s="944" t="s">
        <v>514</v>
      </c>
      <c r="C54" s="957" t="s">
        <v>515</v>
      </c>
      <c r="D54" s="949">
        <f>+Ulaz!F54</f>
        <v>0</v>
      </c>
      <c r="E54" s="949">
        <f>+Ulaz!J54</f>
        <v>0</v>
      </c>
      <c r="F54" s="949">
        <f>+Ulaz!N54</f>
        <v>0</v>
      </c>
      <c r="G54" s="949">
        <f>+Ulaz!R54</f>
        <v>0</v>
      </c>
      <c r="H54" s="949">
        <f>+Ulaz!V54</f>
        <v>0</v>
      </c>
      <c r="I54" s="949">
        <f>+Ulaz!Z54</f>
        <v>0</v>
      </c>
      <c r="J54" s="933"/>
      <c r="K54" s="933"/>
      <c r="L54" s="933"/>
      <c r="M54" s="933"/>
      <c r="N54" s="933"/>
      <c r="O54" s="933"/>
      <c r="P54" s="933"/>
      <c r="Q54" s="933"/>
      <c r="R54" s="933"/>
      <c r="S54" s="933"/>
      <c r="T54" s="933"/>
    </row>
    <row r="55" spans="1:20" ht="12.75">
      <c r="A55" s="954" t="s">
        <v>516</v>
      </c>
      <c r="B55" s="944" t="s">
        <v>517</v>
      </c>
      <c r="C55" s="957" t="s">
        <v>518</v>
      </c>
      <c r="D55" s="949">
        <f>+Ulaz!F55</f>
        <v>319</v>
      </c>
      <c r="E55" s="949">
        <f>+Ulaz!J55</f>
        <v>64</v>
      </c>
      <c r="F55" s="949">
        <f>+Ulaz!N55</f>
        <v>145</v>
      </c>
      <c r="G55" s="949">
        <f>+Ulaz!R55</f>
        <v>439</v>
      </c>
      <c r="H55" s="949">
        <f>+Ulaz!V55</f>
        <v>240</v>
      </c>
      <c r="I55" s="949">
        <f>+Ulaz!Z55</f>
        <v>256</v>
      </c>
      <c r="J55" s="933"/>
      <c r="K55" s="933"/>
      <c r="L55" s="933"/>
      <c r="M55" s="933"/>
      <c r="N55" s="933"/>
      <c r="O55" s="933"/>
      <c r="P55" s="933"/>
      <c r="Q55" s="933"/>
      <c r="R55" s="933"/>
      <c r="S55" s="933"/>
      <c r="T55" s="933"/>
    </row>
    <row r="56" spans="1:20" ht="12.75">
      <c r="A56" s="954" t="s">
        <v>1116</v>
      </c>
      <c r="B56" s="944" t="s">
        <v>519</v>
      </c>
      <c r="C56" s="957" t="s">
        <v>520</v>
      </c>
      <c r="D56" s="949">
        <f>+Ulaz!F56</f>
        <v>0</v>
      </c>
      <c r="E56" s="949">
        <f>+Ulaz!J56</f>
        <v>0</v>
      </c>
      <c r="F56" s="949">
        <f>+Ulaz!N56</f>
        <v>0</v>
      </c>
      <c r="G56" s="949">
        <f>+Ulaz!R56</f>
        <v>0</v>
      </c>
      <c r="H56" s="949">
        <f>+Ulaz!V56</f>
        <v>0</v>
      </c>
      <c r="I56" s="949">
        <f>+Ulaz!Z56</f>
        <v>0</v>
      </c>
      <c r="J56" s="933"/>
      <c r="K56" s="933"/>
      <c r="L56" s="933"/>
      <c r="M56" s="933"/>
      <c r="N56" s="933"/>
      <c r="O56" s="933"/>
      <c r="P56" s="933"/>
      <c r="Q56" s="933"/>
      <c r="R56" s="933"/>
      <c r="S56" s="933"/>
      <c r="T56" s="933"/>
    </row>
    <row r="57" spans="1:20" ht="12.75">
      <c r="A57" s="954"/>
      <c r="B57" s="953" t="s">
        <v>521</v>
      </c>
      <c r="C57" s="957" t="s">
        <v>522</v>
      </c>
      <c r="D57" s="949">
        <f>+Ulaz!F57</f>
        <v>67101</v>
      </c>
      <c r="E57" s="949">
        <f>+Ulaz!J57</f>
        <v>50056</v>
      </c>
      <c r="F57" s="949">
        <f>+Ulaz!N57</f>
        <v>40198</v>
      </c>
      <c r="G57" s="949">
        <f>+Ulaz!R57</f>
        <v>21428</v>
      </c>
      <c r="H57" s="949">
        <f>+Ulaz!V57</f>
        <v>15579</v>
      </c>
      <c r="I57" s="949">
        <f>+Ulaz!Z57</f>
        <v>10916</v>
      </c>
      <c r="J57" s="933"/>
      <c r="K57" s="933"/>
      <c r="L57" s="933"/>
      <c r="M57" s="933"/>
      <c r="N57" s="933"/>
      <c r="O57" s="933"/>
      <c r="P57" s="933"/>
      <c r="Q57" s="933"/>
      <c r="R57" s="933"/>
      <c r="S57" s="933"/>
      <c r="T57" s="933"/>
    </row>
    <row r="58" spans="1:20" ht="12.75">
      <c r="A58" s="954" t="s">
        <v>1117</v>
      </c>
      <c r="B58" s="953" t="s">
        <v>523</v>
      </c>
      <c r="C58" s="957" t="s">
        <v>524</v>
      </c>
      <c r="D58" s="949">
        <f>+Ulaz!F58</f>
        <v>28610</v>
      </c>
      <c r="E58" s="949">
        <f>+Ulaz!J58</f>
        <v>25052</v>
      </c>
      <c r="F58" s="949">
        <f>+Ulaz!N58</f>
        <v>15018</v>
      </c>
      <c r="G58" s="949">
        <f>+Ulaz!R58</f>
        <v>5555</v>
      </c>
      <c r="H58" s="949">
        <f>+Ulaz!V58</f>
        <v>1883</v>
      </c>
      <c r="I58" s="949">
        <f>+Ulaz!Z58</f>
        <v>514</v>
      </c>
      <c r="J58" s="933"/>
      <c r="K58" s="933"/>
      <c r="L58" s="933"/>
      <c r="M58" s="933"/>
      <c r="N58" s="933"/>
      <c r="O58" s="933"/>
      <c r="P58" s="933"/>
      <c r="Q58" s="933"/>
      <c r="R58" s="933"/>
      <c r="S58" s="933"/>
      <c r="T58" s="933"/>
    </row>
    <row r="59" spans="1:20" ht="12.75">
      <c r="A59" s="954" t="s">
        <v>525</v>
      </c>
      <c r="B59" s="944" t="s">
        <v>526</v>
      </c>
      <c r="C59" s="957" t="s">
        <v>527</v>
      </c>
      <c r="D59" s="949">
        <f>+Ulaz!F59</f>
        <v>28610</v>
      </c>
      <c r="E59" s="949">
        <f>+Ulaz!J59</f>
        <v>20830</v>
      </c>
      <c r="F59" s="949">
        <f>+Ulaz!N59</f>
        <v>11849</v>
      </c>
      <c r="G59" s="949">
        <f>+Ulaz!R59</f>
        <v>2825</v>
      </c>
      <c r="H59" s="949">
        <f>+Ulaz!V59</f>
        <v>123</v>
      </c>
      <c r="I59" s="949">
        <f>+Ulaz!Z59</f>
        <v>514</v>
      </c>
      <c r="J59" s="933"/>
      <c r="K59" s="933"/>
      <c r="L59" s="933"/>
      <c r="M59" s="933"/>
      <c r="N59" s="933"/>
      <c r="O59" s="933"/>
      <c r="P59" s="933"/>
      <c r="Q59" s="933"/>
      <c r="R59" s="933"/>
      <c r="S59" s="933"/>
      <c r="T59" s="933"/>
    </row>
    <row r="60" spans="1:20" ht="12.75">
      <c r="A60" s="954" t="s">
        <v>528</v>
      </c>
      <c r="B60" s="944" t="s">
        <v>529</v>
      </c>
      <c r="C60" s="957" t="s">
        <v>530</v>
      </c>
      <c r="D60" s="949">
        <f>+Ulaz!F60</f>
        <v>0</v>
      </c>
      <c r="E60" s="949">
        <f>+Ulaz!J60</f>
        <v>4222</v>
      </c>
      <c r="F60" s="949">
        <f>+Ulaz!N60</f>
        <v>3169</v>
      </c>
      <c r="G60" s="949">
        <f>+Ulaz!R60</f>
        <v>2730</v>
      </c>
      <c r="H60" s="949">
        <f>+Ulaz!V60</f>
        <v>1760</v>
      </c>
      <c r="I60" s="949">
        <f>+Ulaz!Z60</f>
        <v>0</v>
      </c>
      <c r="J60" s="933"/>
      <c r="K60" s="933"/>
      <c r="L60" s="933"/>
      <c r="M60" s="933"/>
      <c r="N60" s="933"/>
      <c r="O60" s="933"/>
      <c r="P60" s="933"/>
      <c r="Q60" s="933"/>
      <c r="R60" s="933"/>
      <c r="S60" s="933"/>
      <c r="T60" s="933"/>
    </row>
    <row r="61" spans="1:20" ht="12.75">
      <c r="A61" s="954"/>
      <c r="B61" s="953" t="s">
        <v>531</v>
      </c>
      <c r="C61" s="958" t="s">
        <v>532</v>
      </c>
      <c r="D61" s="949">
        <f>+Ulaz!F61</f>
        <v>95711</v>
      </c>
      <c r="E61" s="949">
        <f>+Ulaz!J61</f>
        <v>75108</v>
      </c>
      <c r="F61" s="949">
        <f>+Ulaz!N61</f>
        <v>55216</v>
      </c>
      <c r="G61" s="949">
        <f>+Ulaz!R61</f>
        <v>26983</v>
      </c>
      <c r="H61" s="949">
        <f>+Ulaz!V61</f>
        <v>17462</v>
      </c>
      <c r="I61" s="949">
        <f>+Ulaz!Z61</f>
        <v>11430</v>
      </c>
      <c r="J61" s="933"/>
      <c r="K61" s="933"/>
      <c r="L61" s="933"/>
      <c r="M61" s="933"/>
      <c r="N61" s="933"/>
      <c r="O61" s="933"/>
      <c r="P61" s="933"/>
      <c r="Q61" s="933"/>
      <c r="R61" s="933"/>
      <c r="S61" s="933"/>
      <c r="T61" s="933"/>
    </row>
    <row r="62" spans="1:20" ht="12.75">
      <c r="A62" s="954" t="s">
        <v>1133</v>
      </c>
      <c r="B62" s="944" t="s">
        <v>533</v>
      </c>
      <c r="C62" s="957" t="s">
        <v>534</v>
      </c>
      <c r="D62" s="949">
        <f>+Ulaz!F62</f>
        <v>0</v>
      </c>
      <c r="E62" s="949">
        <f>+Ulaz!J62</f>
        <v>0</v>
      </c>
      <c r="F62" s="949">
        <f>+Ulaz!N62</f>
        <v>187</v>
      </c>
      <c r="G62" s="949">
        <f>+Ulaz!R62</f>
        <v>123</v>
      </c>
      <c r="H62" s="949">
        <f>+Ulaz!V62</f>
        <v>84</v>
      </c>
      <c r="I62" s="949">
        <f>+Ulaz!Z62</f>
        <v>46</v>
      </c>
      <c r="J62" s="933"/>
      <c r="K62" s="933"/>
      <c r="L62" s="933"/>
      <c r="M62" s="933"/>
      <c r="N62" s="933"/>
      <c r="O62" s="933"/>
      <c r="P62" s="933"/>
      <c r="Q62" s="933"/>
      <c r="R62" s="933"/>
      <c r="S62" s="933"/>
      <c r="T62" s="933"/>
    </row>
    <row r="63" spans="1:20" ht="12.75">
      <c r="A63" s="954"/>
      <c r="B63" s="953" t="s">
        <v>535</v>
      </c>
      <c r="C63" s="958" t="s">
        <v>536</v>
      </c>
      <c r="D63" s="949">
        <f>+Ulaz!F63</f>
        <v>95711</v>
      </c>
      <c r="E63" s="949">
        <f>+Ulaz!J63</f>
        <v>75108</v>
      </c>
      <c r="F63" s="949">
        <f>+Ulaz!N63</f>
        <v>55403</v>
      </c>
      <c r="G63" s="949">
        <f>+Ulaz!R63</f>
        <v>27106</v>
      </c>
      <c r="H63" s="949">
        <f>+Ulaz!V63</f>
        <v>17546</v>
      </c>
      <c r="I63" s="949">
        <f>+Ulaz!Z63</f>
        <v>11476</v>
      </c>
      <c r="J63" s="933"/>
      <c r="K63" s="933"/>
      <c r="L63" s="933"/>
      <c r="M63" s="933"/>
      <c r="N63" s="933"/>
      <c r="O63" s="933"/>
      <c r="P63" s="933"/>
      <c r="Q63" s="933"/>
      <c r="R63" s="933"/>
      <c r="S63" s="933"/>
      <c r="T63" s="933"/>
    </row>
    <row r="64" spans="1:20" ht="12.75">
      <c r="A64" s="954" t="s">
        <v>1136</v>
      </c>
      <c r="B64" s="944" t="s">
        <v>537</v>
      </c>
      <c r="C64" s="957" t="s">
        <v>538</v>
      </c>
      <c r="D64" s="949">
        <f>+Ulaz!F64</f>
        <v>2886</v>
      </c>
      <c r="E64" s="949">
        <f>+Ulaz!J64</f>
        <v>0</v>
      </c>
      <c r="F64" s="949">
        <f>+Ulaz!N64</f>
        <v>0</v>
      </c>
      <c r="G64" s="949">
        <f>+Ulaz!R64</f>
        <v>0</v>
      </c>
      <c r="H64" s="949">
        <f>+Ulaz!V64</f>
        <v>0</v>
      </c>
      <c r="I64" s="949">
        <f>+Ulaz!Z64</f>
        <v>0</v>
      </c>
      <c r="J64" s="933"/>
      <c r="K64" s="933"/>
      <c r="L64" s="933"/>
      <c r="M64" s="933"/>
      <c r="N64" s="933"/>
      <c r="O64" s="933"/>
      <c r="P64" s="933"/>
      <c r="Q64" s="933"/>
      <c r="R64" s="933"/>
      <c r="S64" s="933"/>
      <c r="T64" s="933"/>
    </row>
    <row r="65" spans="1:20" ht="12.75">
      <c r="A65" s="851"/>
      <c r="B65" s="930"/>
      <c r="C65" s="348"/>
      <c r="D65" s="937"/>
      <c r="E65" s="937"/>
      <c r="F65" s="937"/>
      <c r="G65" s="937"/>
      <c r="H65" s="937"/>
      <c r="I65" s="937"/>
      <c r="J65" s="933"/>
      <c r="K65" s="933"/>
      <c r="L65" s="933"/>
      <c r="M65" s="933"/>
      <c r="N65" s="933"/>
      <c r="O65" s="933"/>
      <c r="P65" s="933"/>
      <c r="Q65" s="933"/>
      <c r="R65" s="933"/>
      <c r="S65" s="933"/>
      <c r="T65" s="933"/>
    </row>
    <row r="66" spans="1:20" ht="18">
      <c r="A66" s="851"/>
      <c r="B66" s="930"/>
      <c r="C66" s="851"/>
      <c r="D66" s="938" t="str">
        <f>+D4</f>
        <v>BILANS STANJA</v>
      </c>
      <c r="E66" s="932"/>
      <c r="F66" s="932"/>
      <c r="G66" s="932"/>
      <c r="H66" s="932"/>
      <c r="I66" s="932"/>
      <c r="J66" s="933"/>
      <c r="K66" s="933"/>
      <c r="L66" s="933"/>
      <c r="M66" s="933"/>
      <c r="N66" s="933"/>
      <c r="O66" s="933"/>
      <c r="P66" s="933"/>
      <c r="Q66" s="933"/>
      <c r="R66" s="933"/>
      <c r="S66" s="933"/>
      <c r="T66" s="933"/>
    </row>
    <row r="67" spans="1:20" ht="12.75">
      <c r="A67" s="939"/>
      <c r="B67" s="932"/>
      <c r="C67" s="930"/>
      <c r="D67" s="932" t="str">
        <f>+Ulaz!B3</f>
        <v>U 000 din</v>
      </c>
      <c r="E67" s="932"/>
      <c r="F67" s="935" t="s">
        <v>616</v>
      </c>
      <c r="G67" s="932"/>
      <c r="H67" s="932"/>
      <c r="I67" s="932"/>
      <c r="J67" s="933"/>
      <c r="K67" s="933"/>
      <c r="L67" s="933"/>
      <c r="M67" s="933"/>
      <c r="N67" s="933"/>
      <c r="O67" s="933"/>
      <c r="P67" s="933"/>
      <c r="Q67" s="933"/>
      <c r="R67" s="933"/>
      <c r="S67" s="933"/>
      <c r="T67" s="933"/>
    </row>
    <row r="68" spans="1:20" ht="12.75">
      <c r="A68" s="944"/>
      <c r="B68" s="944"/>
      <c r="C68" s="944"/>
      <c r="D68" s="945">
        <f>+D6</f>
        <v>2002</v>
      </c>
      <c r="E68" s="945">
        <f aca="true" t="shared" si="1" ref="E68:H69">+E6</f>
        <v>2001</v>
      </c>
      <c r="F68" s="945">
        <f t="shared" si="1"/>
        <v>2000</v>
      </c>
      <c r="G68" s="945">
        <f t="shared" si="1"/>
        <v>1999</v>
      </c>
      <c r="H68" s="945">
        <f t="shared" si="1"/>
        <v>1998</v>
      </c>
      <c r="I68" s="945">
        <f>+I6</f>
        <v>1997</v>
      </c>
      <c r="J68" s="933"/>
      <c r="K68" s="933"/>
      <c r="L68" s="933"/>
      <c r="M68" s="933"/>
      <c r="N68" s="933"/>
      <c r="O68" s="933"/>
      <c r="P68" s="933"/>
      <c r="Q68" s="933"/>
      <c r="R68" s="933"/>
      <c r="S68" s="933"/>
      <c r="T68" s="933"/>
    </row>
    <row r="69" spans="1:20" ht="12.75">
      <c r="A69" s="946" t="s">
        <v>539</v>
      </c>
      <c r="B69" s="947" t="s">
        <v>423</v>
      </c>
      <c r="C69" s="948" t="s">
        <v>424</v>
      </c>
      <c r="D69" s="949" t="str">
        <f>+D7</f>
        <v>Neto</v>
      </c>
      <c r="E69" s="949" t="str">
        <f t="shared" si="1"/>
        <v>Neto</v>
      </c>
      <c r="F69" s="949" t="str">
        <f t="shared" si="1"/>
        <v>Neto</v>
      </c>
      <c r="G69" s="949" t="str">
        <f t="shared" si="1"/>
        <v>Neto</v>
      </c>
      <c r="H69" s="949" t="str">
        <f t="shared" si="1"/>
        <v>Neto</v>
      </c>
      <c r="I69" s="949" t="str">
        <f>+I7</f>
        <v>Neto</v>
      </c>
      <c r="J69" s="933"/>
      <c r="K69" s="933"/>
      <c r="L69" s="933"/>
      <c r="M69" s="933"/>
      <c r="N69" s="933"/>
      <c r="O69" s="933"/>
      <c r="P69" s="933"/>
      <c r="Q69" s="933"/>
      <c r="R69" s="933"/>
      <c r="S69" s="933"/>
      <c r="T69" s="933"/>
    </row>
    <row r="70" spans="1:20" ht="12.75">
      <c r="A70" s="950">
        <v>1</v>
      </c>
      <c r="B70" s="950">
        <v>2</v>
      </c>
      <c r="C70" s="951">
        <v>3</v>
      </c>
      <c r="D70" s="944">
        <v>4</v>
      </c>
      <c r="E70" s="944">
        <f>+D70+1</f>
        <v>5</v>
      </c>
      <c r="F70" s="944">
        <f>+E70+1</f>
        <v>6</v>
      </c>
      <c r="G70" s="944">
        <f>+F70+1</f>
        <v>7</v>
      </c>
      <c r="H70" s="944">
        <f>+G70+1</f>
        <v>8</v>
      </c>
      <c r="I70" s="944">
        <f>+H70+1</f>
        <v>9</v>
      </c>
      <c r="J70" s="933"/>
      <c r="K70" s="933"/>
      <c r="L70" s="933"/>
      <c r="M70" s="933"/>
      <c r="N70" s="933"/>
      <c r="O70" s="933"/>
      <c r="P70" s="933"/>
      <c r="Q70" s="933"/>
      <c r="R70" s="933"/>
      <c r="S70" s="933"/>
      <c r="T70" s="933"/>
    </row>
    <row r="71" spans="1:20" ht="25.5">
      <c r="A71" s="952"/>
      <c r="B71" s="959" t="s">
        <v>1491</v>
      </c>
      <c r="C71" s="958" t="s">
        <v>200</v>
      </c>
      <c r="D71" s="949">
        <f>+Ulaz!F71</f>
        <v>77921</v>
      </c>
      <c r="E71" s="949">
        <f>+Ulaz!J71</f>
        <v>67626</v>
      </c>
      <c r="F71" s="949">
        <f>+Ulaz!N71</f>
        <v>50252</v>
      </c>
      <c r="G71" s="949">
        <f>+Ulaz!R71</f>
        <v>23560</v>
      </c>
      <c r="H71" s="949">
        <f>+Ulaz!V71</f>
        <v>15696</v>
      </c>
      <c r="I71" s="949">
        <f>+Ulaz!Z71</f>
        <v>10428</v>
      </c>
      <c r="J71" s="933"/>
      <c r="K71" s="933"/>
      <c r="L71" s="933"/>
      <c r="M71" s="933"/>
      <c r="N71" s="933"/>
      <c r="O71" s="933"/>
      <c r="P71" s="933"/>
      <c r="Q71" s="933"/>
      <c r="R71" s="933"/>
      <c r="S71" s="933"/>
      <c r="T71" s="933"/>
    </row>
    <row r="72" spans="1:20" ht="12.75">
      <c r="A72" s="952"/>
      <c r="B72" s="953" t="s">
        <v>540</v>
      </c>
      <c r="C72" s="958" t="s">
        <v>201</v>
      </c>
      <c r="D72" s="949">
        <f>+Ulaz!F72</f>
        <v>50252</v>
      </c>
      <c r="E72" s="949">
        <f>+Ulaz!J72</f>
        <v>50252</v>
      </c>
      <c r="F72" s="949">
        <f>+Ulaz!N72</f>
        <v>50252</v>
      </c>
      <c r="G72" s="949">
        <f>+Ulaz!R72</f>
        <v>23560</v>
      </c>
      <c r="H72" s="949">
        <f>+Ulaz!V72</f>
        <v>15696</v>
      </c>
      <c r="I72" s="949">
        <f>+Ulaz!Z72</f>
        <v>9952</v>
      </c>
      <c r="J72" s="933"/>
      <c r="K72" s="933"/>
      <c r="L72" s="933"/>
      <c r="M72" s="933"/>
      <c r="N72" s="933"/>
      <c r="O72" s="933"/>
      <c r="P72" s="933"/>
      <c r="Q72" s="933"/>
      <c r="R72" s="933"/>
      <c r="S72" s="933"/>
      <c r="T72" s="933"/>
    </row>
    <row r="73" spans="1:20" ht="12.75">
      <c r="A73" s="954" t="s">
        <v>1180</v>
      </c>
      <c r="B73" s="956" t="s">
        <v>541</v>
      </c>
      <c r="C73" s="957" t="s">
        <v>837</v>
      </c>
      <c r="D73" s="949">
        <f>+Ulaz!F73</f>
        <v>1126</v>
      </c>
      <c r="E73" s="949">
        <f>+Ulaz!J73</f>
        <v>1126</v>
      </c>
      <c r="F73" s="949">
        <f>+Ulaz!N73</f>
        <v>1126</v>
      </c>
      <c r="G73" s="949">
        <f>+Ulaz!R73</f>
        <v>528</v>
      </c>
      <c r="H73" s="949">
        <f>+Ulaz!V73</f>
        <v>352</v>
      </c>
      <c r="I73" s="949">
        <f>+Ulaz!Z73</f>
        <v>223</v>
      </c>
      <c r="J73" s="933"/>
      <c r="K73" s="933"/>
      <c r="L73" s="933"/>
      <c r="M73" s="933"/>
      <c r="N73" s="933"/>
      <c r="O73" s="933"/>
      <c r="P73" s="933"/>
      <c r="Q73" s="933"/>
      <c r="R73" s="933"/>
      <c r="S73" s="933"/>
      <c r="T73" s="933"/>
    </row>
    <row r="74" spans="1:20" ht="12.75">
      <c r="A74" s="954" t="s">
        <v>1181</v>
      </c>
      <c r="B74" s="956" t="s">
        <v>542</v>
      </c>
      <c r="C74" s="957" t="s">
        <v>202</v>
      </c>
      <c r="D74" s="949">
        <f>+Ulaz!F74</f>
        <v>0</v>
      </c>
      <c r="E74" s="949">
        <f>+Ulaz!J74</f>
        <v>0</v>
      </c>
      <c r="F74" s="949">
        <f>+Ulaz!N74</f>
        <v>0</v>
      </c>
      <c r="G74" s="949">
        <f>+Ulaz!R74</f>
        <v>0</v>
      </c>
      <c r="H74" s="949">
        <f>+Ulaz!V74</f>
        <v>0</v>
      </c>
      <c r="I74" s="949">
        <f>+Ulaz!Z74</f>
        <v>0</v>
      </c>
      <c r="J74" s="933"/>
      <c r="K74" s="933"/>
      <c r="L74" s="933"/>
      <c r="M74" s="933"/>
      <c r="N74" s="933"/>
      <c r="O74" s="933"/>
      <c r="P74" s="933"/>
      <c r="Q74" s="933"/>
      <c r="R74" s="933"/>
      <c r="S74" s="933"/>
      <c r="T74" s="933"/>
    </row>
    <row r="75" spans="1:20" ht="12.75">
      <c r="A75" s="954" t="s">
        <v>543</v>
      </c>
      <c r="B75" s="956" t="s">
        <v>544</v>
      </c>
      <c r="C75" s="957" t="s">
        <v>1128</v>
      </c>
      <c r="D75" s="949">
        <f>+Ulaz!F75</f>
        <v>0</v>
      </c>
      <c r="E75" s="949">
        <f>+Ulaz!J75</f>
        <v>0</v>
      </c>
      <c r="F75" s="949">
        <f>+Ulaz!N75</f>
        <v>0</v>
      </c>
      <c r="G75" s="949">
        <f>+Ulaz!R75</f>
        <v>0</v>
      </c>
      <c r="H75" s="949">
        <f>+Ulaz!V75</f>
        <v>0</v>
      </c>
      <c r="I75" s="949">
        <f>+Ulaz!Z75</f>
        <v>0</v>
      </c>
      <c r="J75" s="933"/>
      <c r="K75" s="933"/>
      <c r="L75" s="933"/>
      <c r="M75" s="933"/>
      <c r="N75" s="933"/>
      <c r="O75" s="933"/>
      <c r="P75" s="933"/>
      <c r="Q75" s="933"/>
      <c r="R75" s="933"/>
      <c r="S75" s="933"/>
      <c r="T75" s="933"/>
    </row>
    <row r="76" spans="1:20" ht="12.75">
      <c r="A76" s="954" t="s">
        <v>545</v>
      </c>
      <c r="B76" s="944" t="s">
        <v>546</v>
      </c>
      <c r="C76" s="957" t="s">
        <v>203</v>
      </c>
      <c r="D76" s="949">
        <f>+Ulaz!F76</f>
        <v>0</v>
      </c>
      <c r="E76" s="949">
        <f>+Ulaz!J76</f>
        <v>0</v>
      </c>
      <c r="F76" s="949">
        <f>+Ulaz!N76</f>
        <v>0</v>
      </c>
      <c r="G76" s="949">
        <f>+Ulaz!R76</f>
        <v>0</v>
      </c>
      <c r="H76" s="949">
        <f>+Ulaz!V76</f>
        <v>0</v>
      </c>
      <c r="I76" s="949">
        <f>+Ulaz!Z76</f>
        <v>0</v>
      </c>
      <c r="J76" s="933"/>
      <c r="K76" s="933"/>
      <c r="L76" s="933"/>
      <c r="M76" s="933"/>
      <c r="N76" s="933"/>
      <c r="O76" s="933"/>
      <c r="P76" s="933"/>
      <c r="Q76" s="933"/>
      <c r="R76" s="933"/>
      <c r="S76" s="933"/>
      <c r="T76" s="933"/>
    </row>
    <row r="77" spans="1:20" ht="12.75">
      <c r="A77" s="954" t="s">
        <v>547</v>
      </c>
      <c r="B77" s="944" t="s">
        <v>548</v>
      </c>
      <c r="C77" s="957" t="s">
        <v>1126</v>
      </c>
      <c r="D77" s="949">
        <f>+Ulaz!F77</f>
        <v>0</v>
      </c>
      <c r="E77" s="949">
        <f>+Ulaz!J77</f>
        <v>0</v>
      </c>
      <c r="F77" s="949">
        <f>+Ulaz!N77</f>
        <v>0</v>
      </c>
      <c r="G77" s="949">
        <f>+Ulaz!R77</f>
        <v>0</v>
      </c>
      <c r="H77" s="949">
        <f>+Ulaz!V77</f>
        <v>0</v>
      </c>
      <c r="I77" s="949">
        <f>+Ulaz!Z77</f>
        <v>0</v>
      </c>
      <c r="J77" s="933"/>
      <c r="K77" s="933"/>
      <c r="L77" s="933"/>
      <c r="M77" s="933"/>
      <c r="N77" s="933"/>
      <c r="O77" s="933"/>
      <c r="P77" s="933"/>
      <c r="Q77" s="933"/>
      <c r="R77" s="933"/>
      <c r="S77" s="933"/>
      <c r="T77" s="933"/>
    </row>
    <row r="78" spans="1:20" ht="12.75">
      <c r="A78" s="954" t="s">
        <v>1182</v>
      </c>
      <c r="B78" s="944" t="s">
        <v>549</v>
      </c>
      <c r="C78" s="957" t="s">
        <v>838</v>
      </c>
      <c r="D78" s="949">
        <f>+Ulaz!F78</f>
        <v>49126</v>
      </c>
      <c r="E78" s="949">
        <f>+Ulaz!J78</f>
        <v>49126</v>
      </c>
      <c r="F78" s="949">
        <f>+Ulaz!N78</f>
        <v>49126</v>
      </c>
      <c r="G78" s="949">
        <f>+Ulaz!R78</f>
        <v>23032</v>
      </c>
      <c r="H78" s="949">
        <f>+Ulaz!V78</f>
        <v>15344</v>
      </c>
      <c r="I78" s="949">
        <f>+Ulaz!Z78</f>
        <v>9729</v>
      </c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</row>
    <row r="79" spans="1:20" ht="12.75">
      <c r="A79" s="954" t="s">
        <v>1183</v>
      </c>
      <c r="B79" s="944" t="s">
        <v>550</v>
      </c>
      <c r="C79" s="957" t="s">
        <v>1088</v>
      </c>
      <c r="D79" s="949">
        <f>+Ulaz!F79</f>
        <v>0</v>
      </c>
      <c r="E79" s="949">
        <f>+Ulaz!J79</f>
        <v>0</v>
      </c>
      <c r="F79" s="949">
        <f>+Ulaz!N79</f>
        <v>0</v>
      </c>
      <c r="G79" s="949">
        <f>+Ulaz!R79</f>
        <v>0</v>
      </c>
      <c r="H79" s="949">
        <f>+Ulaz!V79</f>
        <v>0</v>
      </c>
      <c r="I79" s="949">
        <f>+Ulaz!Z79</f>
        <v>0</v>
      </c>
      <c r="J79" s="933"/>
      <c r="K79" s="933"/>
      <c r="L79" s="933"/>
      <c r="M79" s="933"/>
      <c r="N79" s="933"/>
      <c r="O79" s="933"/>
      <c r="P79" s="933"/>
      <c r="Q79" s="933"/>
      <c r="R79" s="933"/>
      <c r="S79" s="933"/>
      <c r="T79" s="933"/>
    </row>
    <row r="80" spans="1:20" ht="12.75">
      <c r="A80" s="954" t="s">
        <v>231</v>
      </c>
      <c r="B80" s="944" t="s">
        <v>551</v>
      </c>
      <c r="C80" s="957" t="s">
        <v>1130</v>
      </c>
      <c r="D80" s="949">
        <f>+Ulaz!F80</f>
        <v>0</v>
      </c>
      <c r="E80" s="949">
        <f>+Ulaz!J80</f>
        <v>0</v>
      </c>
      <c r="F80" s="949">
        <f>+Ulaz!N80</f>
        <v>0</v>
      </c>
      <c r="G80" s="949">
        <f>+Ulaz!R80</f>
        <v>0</v>
      </c>
      <c r="H80" s="949">
        <f>+Ulaz!V80</f>
        <v>0</v>
      </c>
      <c r="I80" s="949">
        <f>+Ulaz!Z80</f>
        <v>0</v>
      </c>
      <c r="J80" s="933"/>
      <c r="K80" s="933"/>
      <c r="L80" s="933"/>
      <c r="M80" s="933"/>
      <c r="N80" s="933"/>
      <c r="O80" s="933"/>
      <c r="P80" s="933"/>
      <c r="Q80" s="933"/>
      <c r="R80" s="933"/>
      <c r="S80" s="933"/>
      <c r="T80" s="933"/>
    </row>
    <row r="81" spans="1:20" ht="12.75">
      <c r="A81" s="954" t="s">
        <v>232</v>
      </c>
      <c r="B81" s="953" t="s">
        <v>773</v>
      </c>
      <c r="C81" s="958" t="s">
        <v>1132</v>
      </c>
      <c r="D81" s="949">
        <f>+Ulaz!F81</f>
        <v>0</v>
      </c>
      <c r="E81" s="949">
        <f>+Ulaz!J81</f>
        <v>0</v>
      </c>
      <c r="F81" s="949">
        <f>+Ulaz!N81</f>
        <v>0</v>
      </c>
      <c r="G81" s="949">
        <f>+Ulaz!R81</f>
        <v>0</v>
      </c>
      <c r="H81" s="949">
        <f>+Ulaz!V81</f>
        <v>0</v>
      </c>
      <c r="I81" s="949">
        <f>+Ulaz!Z81</f>
        <v>0</v>
      </c>
      <c r="J81" s="933"/>
      <c r="K81" s="933"/>
      <c r="L81" s="933"/>
      <c r="M81" s="933"/>
      <c r="N81" s="933"/>
      <c r="O81" s="933"/>
      <c r="P81" s="933"/>
      <c r="Q81" s="933"/>
      <c r="R81" s="933"/>
      <c r="S81" s="933"/>
      <c r="T81" s="933"/>
    </row>
    <row r="82" spans="1:20" ht="12.75">
      <c r="A82" s="954" t="s">
        <v>1118</v>
      </c>
      <c r="B82" s="953" t="s">
        <v>774</v>
      </c>
      <c r="C82" s="958" t="s">
        <v>554</v>
      </c>
      <c r="D82" s="949">
        <f>+Ulaz!F82</f>
        <v>0</v>
      </c>
      <c r="E82" s="949">
        <f>+Ulaz!J82</f>
        <v>0</v>
      </c>
      <c r="F82" s="949">
        <f>+Ulaz!N82</f>
        <v>0</v>
      </c>
      <c r="G82" s="949">
        <f>+Ulaz!R82</f>
        <v>0</v>
      </c>
      <c r="H82" s="949">
        <f>+Ulaz!V82</f>
        <v>0</v>
      </c>
      <c r="I82" s="949">
        <f>+Ulaz!Z82</f>
        <v>0</v>
      </c>
      <c r="J82" s="933"/>
      <c r="K82" s="933"/>
      <c r="L82" s="933"/>
      <c r="M82" s="933"/>
      <c r="N82" s="933"/>
      <c r="O82" s="933"/>
      <c r="P82" s="933"/>
      <c r="Q82" s="933"/>
      <c r="R82" s="933"/>
      <c r="S82" s="933"/>
      <c r="T82" s="933"/>
    </row>
    <row r="83" spans="1:20" ht="12.75">
      <c r="A83" s="954" t="s">
        <v>234</v>
      </c>
      <c r="B83" s="944" t="s">
        <v>556</v>
      </c>
      <c r="C83" s="957" t="s">
        <v>839</v>
      </c>
      <c r="D83" s="949">
        <f>+Ulaz!F83</f>
        <v>0</v>
      </c>
      <c r="E83" s="949">
        <f>+Ulaz!J83</f>
        <v>0</v>
      </c>
      <c r="F83" s="949">
        <f>+Ulaz!N83</f>
        <v>0</v>
      </c>
      <c r="G83" s="949">
        <f>+Ulaz!R83</f>
        <v>0</v>
      </c>
      <c r="H83" s="949">
        <f>+Ulaz!V83</f>
        <v>0</v>
      </c>
      <c r="I83" s="949">
        <f>+Ulaz!Z83</f>
        <v>0</v>
      </c>
      <c r="J83" s="933"/>
      <c r="K83" s="933"/>
      <c r="L83" s="933"/>
      <c r="M83" s="933"/>
      <c r="N83" s="933"/>
      <c r="O83" s="933"/>
      <c r="P83" s="933"/>
      <c r="Q83" s="933"/>
      <c r="R83" s="933"/>
      <c r="S83" s="933"/>
      <c r="T83" s="933"/>
    </row>
    <row r="84" spans="1:20" ht="12.75">
      <c r="A84" s="954" t="s">
        <v>235</v>
      </c>
      <c r="B84" s="944" t="s">
        <v>558</v>
      </c>
      <c r="C84" s="957" t="s">
        <v>557</v>
      </c>
      <c r="D84" s="949">
        <f>+Ulaz!F84</f>
        <v>0</v>
      </c>
      <c r="E84" s="949">
        <f>+Ulaz!J84</f>
        <v>0</v>
      </c>
      <c r="F84" s="949">
        <f>+Ulaz!N84</f>
        <v>0</v>
      </c>
      <c r="G84" s="949">
        <f>+Ulaz!R84</f>
        <v>0</v>
      </c>
      <c r="H84" s="949">
        <f>+Ulaz!V84</f>
        <v>0</v>
      </c>
      <c r="I84" s="949">
        <f>+Ulaz!Z84</f>
        <v>0</v>
      </c>
      <c r="J84" s="933"/>
      <c r="K84" s="933"/>
      <c r="L84" s="933"/>
      <c r="M84" s="933"/>
      <c r="N84" s="933"/>
      <c r="O84" s="933"/>
      <c r="P84" s="933"/>
      <c r="Q84" s="933"/>
      <c r="R84" s="933"/>
      <c r="S84" s="933"/>
      <c r="T84" s="933"/>
    </row>
    <row r="85" spans="1:20" ht="12.75">
      <c r="A85" s="954" t="s">
        <v>1119</v>
      </c>
      <c r="B85" s="953" t="s">
        <v>775</v>
      </c>
      <c r="C85" s="958" t="s">
        <v>205</v>
      </c>
      <c r="D85" s="949">
        <f>+Ulaz!F85</f>
        <v>27669</v>
      </c>
      <c r="E85" s="949">
        <f>+Ulaz!J85</f>
        <v>17374</v>
      </c>
      <c r="F85" s="949">
        <f>+Ulaz!N85</f>
        <v>0</v>
      </c>
      <c r="G85" s="949">
        <f>+Ulaz!R85</f>
        <v>0</v>
      </c>
      <c r="H85" s="949">
        <f>+Ulaz!V85</f>
        <v>0</v>
      </c>
      <c r="I85" s="949">
        <f>+Ulaz!Z85</f>
        <v>476</v>
      </c>
      <c r="J85" s="933"/>
      <c r="K85" s="933"/>
      <c r="L85" s="933"/>
      <c r="M85" s="933"/>
      <c r="N85" s="933"/>
      <c r="O85" s="933"/>
      <c r="P85" s="933"/>
      <c r="Q85" s="933"/>
      <c r="R85" s="933"/>
      <c r="S85" s="933"/>
      <c r="T85" s="933"/>
    </row>
    <row r="86" spans="1:20" ht="12.75">
      <c r="A86" s="954" t="s">
        <v>199</v>
      </c>
      <c r="B86" s="944" t="s">
        <v>560</v>
      </c>
      <c r="C86" s="957" t="s">
        <v>206</v>
      </c>
      <c r="D86" s="949">
        <f>+Ulaz!F86</f>
        <v>0</v>
      </c>
      <c r="E86" s="949">
        <f>+Ulaz!J86</f>
        <v>0</v>
      </c>
      <c r="F86" s="949">
        <f>+Ulaz!N86</f>
        <v>0</v>
      </c>
      <c r="G86" s="949">
        <f>+Ulaz!R86</f>
        <v>0</v>
      </c>
      <c r="H86" s="949">
        <f>+Ulaz!V86</f>
        <v>0</v>
      </c>
      <c r="I86" s="949">
        <f>+Ulaz!Z86</f>
        <v>0</v>
      </c>
      <c r="J86" s="933"/>
      <c r="K86" s="933"/>
      <c r="L86" s="933"/>
      <c r="M86" s="933"/>
      <c r="N86" s="933"/>
      <c r="O86" s="933"/>
      <c r="P86" s="933"/>
      <c r="Q86" s="933"/>
      <c r="R86" s="933"/>
      <c r="S86" s="933"/>
      <c r="T86" s="933"/>
    </row>
    <row r="87" spans="1:20" ht="12.75">
      <c r="A87" s="954" t="s">
        <v>561</v>
      </c>
      <c r="B87" s="944" t="s">
        <v>562</v>
      </c>
      <c r="C87" s="957" t="s">
        <v>1085</v>
      </c>
      <c r="D87" s="949">
        <f>+Ulaz!F87</f>
        <v>692</v>
      </c>
      <c r="E87" s="949">
        <f>+Ulaz!J87</f>
        <v>0</v>
      </c>
      <c r="F87" s="949">
        <f>+Ulaz!N87</f>
        <v>0</v>
      </c>
      <c r="G87" s="949">
        <f>+Ulaz!R87</f>
        <v>0</v>
      </c>
      <c r="H87" s="949">
        <f>+Ulaz!V87</f>
        <v>0</v>
      </c>
      <c r="I87" s="949">
        <f>+Ulaz!Z87</f>
        <v>476</v>
      </c>
      <c r="J87" s="933"/>
      <c r="K87" s="933"/>
      <c r="L87" s="933"/>
      <c r="M87" s="933"/>
      <c r="N87" s="933"/>
      <c r="O87" s="933"/>
      <c r="P87" s="933"/>
      <c r="Q87" s="933"/>
      <c r="R87" s="933"/>
      <c r="S87" s="933"/>
      <c r="T87" s="933"/>
    </row>
    <row r="88" spans="1:20" ht="12.75">
      <c r="A88" s="954" t="s">
        <v>1300</v>
      </c>
      <c r="B88" s="953" t="s">
        <v>776</v>
      </c>
      <c r="C88" s="958" t="s">
        <v>207</v>
      </c>
      <c r="D88" s="949">
        <f>+Ulaz!F88</f>
        <v>26977</v>
      </c>
      <c r="E88" s="949">
        <f>+Ulaz!J88</f>
        <v>17374</v>
      </c>
      <c r="F88" s="949">
        <f>+Ulaz!N88</f>
        <v>0</v>
      </c>
      <c r="G88" s="949">
        <f>+Ulaz!R88</f>
        <v>0</v>
      </c>
      <c r="H88" s="949">
        <f>+Ulaz!V88</f>
        <v>0</v>
      </c>
      <c r="I88" s="949">
        <f>+Ulaz!Z88</f>
        <v>0</v>
      </c>
      <c r="J88" s="933"/>
      <c r="K88" s="933"/>
      <c r="L88" s="933"/>
      <c r="M88" s="933"/>
      <c r="N88" s="933"/>
      <c r="O88" s="933"/>
      <c r="P88" s="933"/>
      <c r="Q88" s="933"/>
      <c r="R88" s="933"/>
      <c r="S88" s="933"/>
      <c r="T88" s="933"/>
    </row>
    <row r="89" spans="1:20" ht="12.75">
      <c r="A89" s="954"/>
      <c r="B89" s="953" t="s">
        <v>563</v>
      </c>
      <c r="C89" s="958" t="s">
        <v>208</v>
      </c>
      <c r="D89" s="949">
        <f>+Ulaz!F89</f>
        <v>0</v>
      </c>
      <c r="E89" s="949">
        <f>+Ulaz!J89</f>
        <v>0</v>
      </c>
      <c r="F89" s="949">
        <f>+Ulaz!N89</f>
        <v>0</v>
      </c>
      <c r="G89" s="949">
        <f>+Ulaz!R89</f>
        <v>0</v>
      </c>
      <c r="H89" s="949">
        <f>+Ulaz!V89</f>
        <v>0</v>
      </c>
      <c r="I89" s="949">
        <f>+Ulaz!Z89</f>
        <v>0</v>
      </c>
      <c r="J89" s="933"/>
      <c r="K89" s="933"/>
      <c r="L89" s="933"/>
      <c r="M89" s="933"/>
      <c r="N89" s="933"/>
      <c r="O89" s="933"/>
      <c r="P89" s="933"/>
      <c r="Q89" s="933"/>
      <c r="R89" s="933"/>
      <c r="S89" s="933"/>
      <c r="T89" s="933"/>
    </row>
    <row r="90" spans="1:20" ht="12.75">
      <c r="A90" s="954" t="s">
        <v>564</v>
      </c>
      <c r="B90" s="944" t="s">
        <v>777</v>
      </c>
      <c r="C90" s="957" t="s">
        <v>209</v>
      </c>
      <c r="D90" s="949">
        <f>+Ulaz!F90</f>
        <v>0</v>
      </c>
      <c r="E90" s="949">
        <f>+Ulaz!J90</f>
        <v>0</v>
      </c>
      <c r="F90" s="949">
        <f>+Ulaz!N90</f>
        <v>0</v>
      </c>
      <c r="G90" s="949">
        <f>+Ulaz!R90</f>
        <v>0</v>
      </c>
      <c r="H90" s="949">
        <f>+Ulaz!V90</f>
        <v>0</v>
      </c>
      <c r="I90" s="949">
        <f>+Ulaz!Z90</f>
        <v>0</v>
      </c>
      <c r="J90" s="933"/>
      <c r="K90" s="933"/>
      <c r="L90" s="933"/>
      <c r="M90" s="933"/>
      <c r="N90" s="933"/>
      <c r="O90" s="933"/>
      <c r="P90" s="933"/>
      <c r="Q90" s="933"/>
      <c r="R90" s="933"/>
      <c r="S90" s="933"/>
      <c r="T90" s="933"/>
    </row>
    <row r="91" spans="1:20" ht="12.75">
      <c r="A91" s="954" t="s">
        <v>566</v>
      </c>
      <c r="B91" s="944" t="s">
        <v>778</v>
      </c>
      <c r="C91" s="957" t="s">
        <v>567</v>
      </c>
      <c r="D91" s="949">
        <f>+Ulaz!F91</f>
        <v>0</v>
      </c>
      <c r="E91" s="949">
        <f>+Ulaz!J91</f>
        <v>0</v>
      </c>
      <c r="F91" s="949">
        <f>+Ulaz!N91</f>
        <v>0</v>
      </c>
      <c r="G91" s="949">
        <f>+Ulaz!R91</f>
        <v>0</v>
      </c>
      <c r="H91" s="949">
        <f>+Ulaz!V91</f>
        <v>0</v>
      </c>
      <c r="I91" s="949">
        <f>+Ulaz!Z91</f>
        <v>0</v>
      </c>
      <c r="J91" s="933"/>
      <c r="K91" s="933"/>
      <c r="L91" s="933"/>
      <c r="M91" s="933"/>
      <c r="N91" s="933"/>
      <c r="O91" s="933"/>
      <c r="P91" s="933"/>
      <c r="Q91" s="933"/>
      <c r="R91" s="933"/>
      <c r="S91" s="933"/>
      <c r="T91" s="933"/>
    </row>
    <row r="92" spans="1:20" ht="12.75">
      <c r="A92" s="954" t="s">
        <v>779</v>
      </c>
      <c r="B92" s="944" t="s">
        <v>780</v>
      </c>
      <c r="C92" s="957" t="s">
        <v>1086</v>
      </c>
      <c r="D92" s="949">
        <f>+Ulaz!F92</f>
        <v>0</v>
      </c>
      <c r="E92" s="949">
        <f>+Ulaz!J92</f>
        <v>0</v>
      </c>
      <c r="F92" s="949">
        <f>+Ulaz!N92</f>
        <v>0</v>
      </c>
      <c r="G92" s="949">
        <f>+Ulaz!R92</f>
        <v>0</v>
      </c>
      <c r="H92" s="949">
        <f>+Ulaz!V92</f>
        <v>0</v>
      </c>
      <c r="I92" s="949">
        <f>+Ulaz!Z92</f>
        <v>0</v>
      </c>
      <c r="J92" s="933"/>
      <c r="K92" s="933"/>
      <c r="L92" s="933"/>
      <c r="M92" s="933"/>
      <c r="N92" s="933"/>
      <c r="O92" s="933"/>
      <c r="P92" s="933"/>
      <c r="Q92" s="933"/>
      <c r="R92" s="933"/>
      <c r="S92" s="933"/>
      <c r="T92" s="933"/>
    </row>
    <row r="93" spans="1:20" ht="12.75">
      <c r="A93" s="954" t="s">
        <v>569</v>
      </c>
      <c r="B93" s="944" t="s">
        <v>781</v>
      </c>
      <c r="C93" s="957" t="s">
        <v>210</v>
      </c>
      <c r="D93" s="949">
        <f>+Ulaz!F93</f>
        <v>0</v>
      </c>
      <c r="E93" s="949">
        <f>+Ulaz!J93</f>
        <v>0</v>
      </c>
      <c r="F93" s="949">
        <f>+Ulaz!N93</f>
        <v>0</v>
      </c>
      <c r="G93" s="949">
        <f>+Ulaz!R93</f>
        <v>0</v>
      </c>
      <c r="H93" s="949">
        <f>+Ulaz!V93</f>
        <v>0</v>
      </c>
      <c r="I93" s="949">
        <f>+Ulaz!Z93</f>
        <v>0</v>
      </c>
      <c r="J93" s="933"/>
      <c r="K93" s="933"/>
      <c r="L93" s="933"/>
      <c r="M93" s="933"/>
      <c r="N93" s="933"/>
      <c r="O93" s="933"/>
      <c r="P93" s="933"/>
      <c r="Q93" s="933"/>
      <c r="R93" s="933"/>
      <c r="S93" s="933"/>
      <c r="T93" s="933"/>
    </row>
    <row r="94" spans="1:20" ht="12.75">
      <c r="A94" s="954"/>
      <c r="B94" s="953" t="s">
        <v>571</v>
      </c>
      <c r="C94" s="958" t="s">
        <v>1087</v>
      </c>
      <c r="D94" s="949">
        <f>+Ulaz!F94</f>
        <v>17790</v>
      </c>
      <c r="E94" s="949">
        <f>+Ulaz!J94</f>
        <v>7384</v>
      </c>
      <c r="F94" s="949">
        <f>+Ulaz!N94</f>
        <v>4964</v>
      </c>
      <c r="G94" s="949">
        <f>+Ulaz!R94</f>
        <v>3423</v>
      </c>
      <c r="H94" s="949">
        <f>+Ulaz!V94</f>
        <v>1766</v>
      </c>
      <c r="I94" s="949">
        <f>+Ulaz!Z94</f>
        <v>1002</v>
      </c>
      <c r="J94" s="933"/>
      <c r="K94" s="933"/>
      <c r="L94" s="933"/>
      <c r="M94" s="933"/>
      <c r="N94" s="933"/>
      <c r="O94" s="933"/>
      <c r="P94" s="933"/>
      <c r="Q94" s="933"/>
      <c r="R94" s="933"/>
      <c r="S94" s="933"/>
      <c r="T94" s="933"/>
    </row>
    <row r="95" spans="1:20" ht="12.75">
      <c r="A95" s="954"/>
      <c r="B95" s="953" t="s">
        <v>572</v>
      </c>
      <c r="C95" s="958" t="s">
        <v>840</v>
      </c>
      <c r="D95" s="949">
        <f>+Ulaz!F95</f>
        <v>4480</v>
      </c>
      <c r="E95" s="949">
        <f>+Ulaz!J95</f>
        <v>0</v>
      </c>
      <c r="F95" s="949">
        <f>+Ulaz!N95</f>
        <v>0</v>
      </c>
      <c r="G95" s="949">
        <f>+Ulaz!R95</f>
        <v>0</v>
      </c>
      <c r="H95" s="949">
        <f>+Ulaz!V95</f>
        <v>0</v>
      </c>
      <c r="I95" s="949">
        <f>+Ulaz!Z95</f>
        <v>0</v>
      </c>
      <c r="J95" s="933"/>
      <c r="K95" s="933"/>
      <c r="L95" s="933"/>
      <c r="M95" s="933"/>
      <c r="N95" s="933"/>
      <c r="O95" s="933"/>
      <c r="P95" s="933"/>
      <c r="Q95" s="933"/>
      <c r="R95" s="933"/>
      <c r="S95" s="933"/>
      <c r="T95" s="933"/>
    </row>
    <row r="96" spans="1:20" ht="12.75">
      <c r="A96" s="954" t="s">
        <v>573</v>
      </c>
      <c r="B96" s="944" t="s">
        <v>574</v>
      </c>
      <c r="C96" s="957" t="s">
        <v>575</v>
      </c>
      <c r="D96" s="949">
        <f>+Ulaz!F96</f>
        <v>0</v>
      </c>
      <c r="E96" s="949">
        <f>+Ulaz!J96</f>
        <v>0</v>
      </c>
      <c r="F96" s="949">
        <f>+Ulaz!N96</f>
        <v>0</v>
      </c>
      <c r="G96" s="949">
        <f>+Ulaz!R96</f>
        <v>0</v>
      </c>
      <c r="H96" s="949">
        <f>+Ulaz!V96</f>
        <v>0</v>
      </c>
      <c r="I96" s="949">
        <f>+Ulaz!Z96</f>
        <v>0</v>
      </c>
      <c r="J96" s="933"/>
      <c r="K96" s="933"/>
      <c r="L96" s="933"/>
      <c r="M96" s="933"/>
      <c r="N96" s="933"/>
      <c r="O96" s="933"/>
      <c r="P96" s="933"/>
      <c r="Q96" s="933"/>
      <c r="R96" s="933"/>
      <c r="S96" s="933"/>
      <c r="T96" s="933"/>
    </row>
    <row r="97" spans="1:20" ht="12.75">
      <c r="A97" s="954" t="s">
        <v>576</v>
      </c>
      <c r="B97" s="944" t="s">
        <v>577</v>
      </c>
      <c r="C97" s="957" t="s">
        <v>578</v>
      </c>
      <c r="D97" s="949">
        <f>+Ulaz!F97</f>
        <v>0</v>
      </c>
      <c r="E97" s="949">
        <f>+Ulaz!J97</f>
        <v>0</v>
      </c>
      <c r="F97" s="949">
        <f>+Ulaz!N97</f>
        <v>0</v>
      </c>
      <c r="G97" s="949">
        <f>+Ulaz!R97</f>
        <v>0</v>
      </c>
      <c r="H97" s="949">
        <f>+Ulaz!V97</f>
        <v>0</v>
      </c>
      <c r="I97" s="949">
        <f>+Ulaz!Z97</f>
        <v>0</v>
      </c>
      <c r="J97" s="933"/>
      <c r="K97" s="933"/>
      <c r="L97" s="933"/>
      <c r="M97" s="933"/>
      <c r="N97" s="933"/>
      <c r="O97" s="933"/>
      <c r="P97" s="933"/>
      <c r="Q97" s="933"/>
      <c r="R97" s="933"/>
      <c r="S97" s="933"/>
      <c r="T97" s="933"/>
    </row>
    <row r="98" spans="1:20" ht="12.75">
      <c r="A98" s="954" t="s">
        <v>579</v>
      </c>
      <c r="B98" s="944" t="s">
        <v>580</v>
      </c>
      <c r="C98" s="957" t="s">
        <v>581</v>
      </c>
      <c r="D98" s="949">
        <f>+Ulaz!F98</f>
        <v>0</v>
      </c>
      <c r="E98" s="949">
        <f>+Ulaz!J98</f>
        <v>0</v>
      </c>
      <c r="F98" s="949">
        <f>+Ulaz!N98</f>
        <v>0</v>
      </c>
      <c r="G98" s="949">
        <f>+Ulaz!R98</f>
        <v>0</v>
      </c>
      <c r="H98" s="949">
        <f>+Ulaz!V98</f>
        <v>0</v>
      </c>
      <c r="I98" s="949">
        <f>+Ulaz!Z98</f>
        <v>0</v>
      </c>
      <c r="J98" s="933"/>
      <c r="K98" s="933"/>
      <c r="L98" s="933"/>
      <c r="M98" s="933"/>
      <c r="N98" s="933"/>
      <c r="O98" s="933"/>
      <c r="P98" s="933"/>
      <c r="Q98" s="933"/>
      <c r="R98" s="933"/>
      <c r="S98" s="933"/>
      <c r="T98" s="933"/>
    </row>
    <row r="99" spans="1:20" ht="12.75">
      <c r="A99" s="954" t="s">
        <v>582</v>
      </c>
      <c r="B99" s="944" t="s">
        <v>583</v>
      </c>
      <c r="C99" s="957" t="s">
        <v>584</v>
      </c>
      <c r="D99" s="949">
        <f>+Ulaz!F99</f>
        <v>4480</v>
      </c>
      <c r="E99" s="949">
        <f>+Ulaz!J99</f>
        <v>0</v>
      </c>
      <c r="F99" s="949">
        <f>+Ulaz!N99</f>
        <v>0</v>
      </c>
      <c r="G99" s="949">
        <f>+Ulaz!R99</f>
        <v>0</v>
      </c>
      <c r="H99" s="949">
        <f>+Ulaz!V99</f>
        <v>0</v>
      </c>
      <c r="I99" s="949">
        <f>+Ulaz!Z99</f>
        <v>0</v>
      </c>
      <c r="J99" s="933"/>
      <c r="K99" s="933"/>
      <c r="L99" s="933"/>
      <c r="M99" s="933"/>
      <c r="N99" s="933"/>
      <c r="O99" s="933"/>
      <c r="P99" s="933"/>
      <c r="Q99" s="933"/>
      <c r="R99" s="933"/>
      <c r="S99" s="933"/>
      <c r="T99" s="933"/>
    </row>
    <row r="100" spans="1:20" ht="12.75">
      <c r="A100" s="954" t="s">
        <v>157</v>
      </c>
      <c r="B100" s="944" t="s">
        <v>585</v>
      </c>
      <c r="C100" s="957" t="s">
        <v>586</v>
      </c>
      <c r="D100" s="949">
        <f>+Ulaz!F100</f>
        <v>0</v>
      </c>
      <c r="E100" s="949">
        <f>+Ulaz!J100</f>
        <v>0</v>
      </c>
      <c r="F100" s="949">
        <f>+Ulaz!N100</f>
        <v>0</v>
      </c>
      <c r="G100" s="949">
        <f>+Ulaz!R100</f>
        <v>0</v>
      </c>
      <c r="H100" s="949">
        <f>+Ulaz!V100</f>
        <v>0</v>
      </c>
      <c r="I100" s="949">
        <f>+Ulaz!Z100</f>
        <v>0</v>
      </c>
      <c r="J100" s="933"/>
      <c r="K100" s="933"/>
      <c r="L100" s="933"/>
      <c r="M100" s="933"/>
      <c r="N100" s="933"/>
      <c r="O100" s="933"/>
      <c r="P100" s="933"/>
      <c r="Q100" s="933"/>
      <c r="R100" s="933"/>
      <c r="S100" s="933"/>
      <c r="T100" s="933"/>
    </row>
    <row r="101" spans="1:20" ht="12.75">
      <c r="A101" s="954"/>
      <c r="B101" s="953" t="s">
        <v>587</v>
      </c>
      <c r="C101" s="958" t="s">
        <v>588</v>
      </c>
      <c r="D101" s="949">
        <f>+Ulaz!F101</f>
        <v>13310</v>
      </c>
      <c r="E101" s="949">
        <f>+Ulaz!J101</f>
        <v>7384</v>
      </c>
      <c r="F101" s="949">
        <f>+Ulaz!N101</f>
        <v>4964</v>
      </c>
      <c r="G101" s="949">
        <f>+Ulaz!R101</f>
        <v>3423</v>
      </c>
      <c r="H101" s="949">
        <f>+Ulaz!V101</f>
        <v>1766</v>
      </c>
      <c r="I101" s="949">
        <f>+Ulaz!Z101</f>
        <v>1002</v>
      </c>
      <c r="J101" s="933"/>
      <c r="K101" s="933"/>
      <c r="L101" s="933"/>
      <c r="M101" s="933"/>
      <c r="N101" s="933"/>
      <c r="O101" s="933"/>
      <c r="P101" s="933"/>
      <c r="Q101" s="933"/>
      <c r="R101" s="933"/>
      <c r="S101" s="933"/>
      <c r="T101" s="933"/>
    </row>
    <row r="102" spans="1:20" ht="12.75">
      <c r="A102" s="954" t="s">
        <v>589</v>
      </c>
      <c r="B102" s="956" t="s">
        <v>590</v>
      </c>
      <c r="C102" s="957" t="s">
        <v>591</v>
      </c>
      <c r="D102" s="949">
        <f>+Ulaz!F102</f>
        <v>0</v>
      </c>
      <c r="E102" s="949">
        <f>+Ulaz!J102</f>
        <v>0</v>
      </c>
      <c r="F102" s="949">
        <f>+Ulaz!N102</f>
        <v>0</v>
      </c>
      <c r="G102" s="949">
        <f>+Ulaz!R102</f>
        <v>0</v>
      </c>
      <c r="H102" s="949">
        <f>+Ulaz!V102</f>
        <v>0</v>
      </c>
      <c r="I102" s="949">
        <f>+Ulaz!Z102</f>
        <v>0</v>
      </c>
      <c r="J102" s="933"/>
      <c r="K102" s="933"/>
      <c r="L102" s="933"/>
      <c r="M102" s="933"/>
      <c r="N102" s="933"/>
      <c r="O102" s="933"/>
      <c r="P102" s="933"/>
      <c r="Q102" s="933"/>
      <c r="R102" s="933"/>
      <c r="S102" s="933"/>
      <c r="T102" s="933"/>
    </row>
    <row r="103" spans="1:20" ht="12.75">
      <c r="A103" s="954" t="s">
        <v>592</v>
      </c>
      <c r="B103" s="944" t="s">
        <v>891</v>
      </c>
      <c r="C103" s="957" t="s">
        <v>892</v>
      </c>
      <c r="D103" s="949">
        <f>+Ulaz!F101</f>
        <v>13310</v>
      </c>
      <c r="E103" s="949">
        <f>+Ulaz!G101</f>
        <v>0</v>
      </c>
      <c r="F103" s="949">
        <f>+Ulaz!H101</f>
        <v>0</v>
      </c>
      <c r="G103" s="949">
        <f>+Ulaz!I101</f>
        <v>0</v>
      </c>
      <c r="H103" s="949">
        <f>+Ulaz!J101</f>
        <v>7384</v>
      </c>
      <c r="I103" s="949">
        <f>+Ulaz!K101</f>
        <v>0</v>
      </c>
      <c r="J103" s="933"/>
      <c r="K103" s="933"/>
      <c r="L103" s="933"/>
      <c r="M103" s="933"/>
      <c r="N103" s="933"/>
      <c r="O103" s="933"/>
      <c r="P103" s="933"/>
      <c r="Q103" s="933"/>
      <c r="R103" s="933"/>
      <c r="S103" s="933"/>
      <c r="T103" s="933"/>
    </row>
    <row r="104" spans="1:20" ht="12.75">
      <c r="A104" s="954" t="s">
        <v>893</v>
      </c>
      <c r="B104" s="944" t="s">
        <v>894</v>
      </c>
      <c r="C104" s="957" t="s">
        <v>895</v>
      </c>
      <c r="D104" s="949">
        <f>+Ulaz!F104</f>
        <v>0</v>
      </c>
      <c r="E104" s="949">
        <f>+Ulaz!J104</f>
        <v>0</v>
      </c>
      <c r="F104" s="949">
        <f>+Ulaz!N104</f>
        <v>0</v>
      </c>
      <c r="G104" s="949">
        <f>+Ulaz!R104</f>
        <v>0</v>
      </c>
      <c r="H104" s="949">
        <f>+Ulaz!V104</f>
        <v>0</v>
      </c>
      <c r="I104" s="949">
        <f>+Ulaz!Z104</f>
        <v>0</v>
      </c>
      <c r="J104" s="933"/>
      <c r="K104" s="933"/>
      <c r="L104" s="933"/>
      <c r="M104" s="933"/>
      <c r="N104" s="933"/>
      <c r="O104" s="933"/>
      <c r="P104" s="933"/>
      <c r="Q104" s="933"/>
      <c r="R104" s="933"/>
      <c r="S104" s="933"/>
      <c r="T104" s="933"/>
    </row>
    <row r="105" spans="1:20" ht="12.75">
      <c r="A105" s="954" t="s">
        <v>158</v>
      </c>
      <c r="B105" s="944" t="s">
        <v>896</v>
      </c>
      <c r="C105" s="957" t="s">
        <v>897</v>
      </c>
      <c r="D105" s="949">
        <f>+Ulaz!F105</f>
        <v>58</v>
      </c>
      <c r="E105" s="949">
        <f>+Ulaz!J105</f>
        <v>163</v>
      </c>
      <c r="F105" s="949">
        <f>+Ulaz!N105</f>
        <v>582</v>
      </c>
      <c r="G105" s="949">
        <f>+Ulaz!R105</f>
        <v>650</v>
      </c>
      <c r="H105" s="949">
        <f>+Ulaz!V105</f>
        <v>21</v>
      </c>
      <c r="I105" s="949">
        <f>+Ulaz!Z105</f>
        <v>43</v>
      </c>
      <c r="J105" s="933"/>
      <c r="K105" s="933"/>
      <c r="L105" s="933"/>
      <c r="M105" s="933"/>
      <c r="N105" s="933"/>
      <c r="O105" s="933"/>
      <c r="P105" s="933"/>
      <c r="Q105" s="933"/>
      <c r="R105" s="933"/>
      <c r="S105" s="933"/>
      <c r="T105" s="933"/>
    </row>
    <row r="106" spans="1:20" ht="12.75">
      <c r="A106" s="954" t="s">
        <v>159</v>
      </c>
      <c r="B106" s="944" t="s">
        <v>898</v>
      </c>
      <c r="C106" s="957" t="s">
        <v>164</v>
      </c>
      <c r="D106" s="949">
        <f>+Ulaz!F106</f>
        <v>0</v>
      </c>
      <c r="E106" s="949">
        <f>+Ulaz!J106</f>
        <v>0</v>
      </c>
      <c r="F106" s="949">
        <f>+Ulaz!N106</f>
        <v>0</v>
      </c>
      <c r="G106" s="949">
        <f>+Ulaz!R106</f>
        <v>0</v>
      </c>
      <c r="H106" s="949">
        <f>+Ulaz!V106</f>
        <v>0</v>
      </c>
      <c r="I106" s="949">
        <f>+Ulaz!Z106</f>
        <v>0</v>
      </c>
      <c r="J106" s="933"/>
      <c r="K106" s="933"/>
      <c r="L106" s="933"/>
      <c r="M106" s="933"/>
      <c r="N106" s="933"/>
      <c r="O106" s="933"/>
      <c r="P106" s="933"/>
      <c r="Q106" s="933"/>
      <c r="R106" s="933"/>
      <c r="S106" s="933"/>
      <c r="T106" s="933"/>
    </row>
    <row r="107" spans="1:20" ht="12.75">
      <c r="A107" s="954" t="s">
        <v>899</v>
      </c>
      <c r="B107" s="944" t="s">
        <v>900</v>
      </c>
      <c r="C107" s="957" t="s">
        <v>1129</v>
      </c>
      <c r="D107" s="949">
        <f>+Ulaz!F107</f>
        <v>9762</v>
      </c>
      <c r="E107" s="949">
        <f>+Ulaz!J107</f>
        <v>5706</v>
      </c>
      <c r="F107" s="949">
        <f>+Ulaz!N107</f>
        <v>3255</v>
      </c>
      <c r="G107" s="949">
        <f>+Ulaz!R107</f>
        <v>2115</v>
      </c>
      <c r="H107" s="949">
        <f>+Ulaz!V107</f>
        <v>1201</v>
      </c>
      <c r="I107" s="949">
        <f>+Ulaz!Z107</f>
        <v>542</v>
      </c>
      <c r="J107" s="933"/>
      <c r="K107" s="933"/>
      <c r="L107" s="933"/>
      <c r="M107" s="933"/>
      <c r="N107" s="933"/>
      <c r="O107" s="933"/>
      <c r="P107" s="933"/>
      <c r="Q107" s="933"/>
      <c r="R107" s="933"/>
      <c r="S107" s="933"/>
      <c r="T107" s="933"/>
    </row>
    <row r="108" spans="1:20" ht="12.75">
      <c r="A108" s="954" t="s">
        <v>901</v>
      </c>
      <c r="B108" s="956" t="s">
        <v>902</v>
      </c>
      <c r="C108" s="957" t="s">
        <v>1127</v>
      </c>
      <c r="D108" s="949">
        <f>+Ulaz!F108</f>
        <v>0</v>
      </c>
      <c r="E108" s="949">
        <f>+Ulaz!J108</f>
        <v>0</v>
      </c>
      <c r="F108" s="949">
        <f>+Ulaz!N108</f>
        <v>0</v>
      </c>
      <c r="G108" s="949">
        <f>+Ulaz!R108</f>
        <v>0</v>
      </c>
      <c r="H108" s="949">
        <f>+Ulaz!V108</f>
        <v>0</v>
      </c>
      <c r="I108" s="949">
        <f>+Ulaz!Z108</f>
        <v>0</v>
      </c>
      <c r="J108" s="933"/>
      <c r="K108" s="933"/>
      <c r="L108" s="933"/>
      <c r="M108" s="933"/>
      <c r="N108" s="933"/>
      <c r="O108" s="933"/>
      <c r="P108" s="933"/>
      <c r="Q108" s="933"/>
      <c r="R108" s="933"/>
      <c r="S108" s="933"/>
      <c r="T108" s="933"/>
    </row>
    <row r="109" spans="1:20" ht="12.75">
      <c r="A109" s="954" t="s">
        <v>1120</v>
      </c>
      <c r="B109" s="944" t="s">
        <v>903</v>
      </c>
      <c r="C109" s="957" t="s">
        <v>1131</v>
      </c>
      <c r="D109" s="949">
        <f>+Ulaz!F109</f>
        <v>0</v>
      </c>
      <c r="E109" s="949">
        <f>+Ulaz!J109</f>
        <v>0</v>
      </c>
      <c r="F109" s="949">
        <f>+Ulaz!N109</f>
        <v>0</v>
      </c>
      <c r="G109" s="949">
        <f>+Ulaz!R109</f>
        <v>0</v>
      </c>
      <c r="H109" s="949">
        <f>+Ulaz!V109</f>
        <v>0</v>
      </c>
      <c r="I109" s="949">
        <f>+Ulaz!Z109</f>
        <v>0</v>
      </c>
      <c r="J109" s="933"/>
      <c r="K109" s="933"/>
      <c r="L109" s="933"/>
      <c r="M109" s="933"/>
      <c r="N109" s="933"/>
      <c r="O109" s="933"/>
      <c r="P109" s="933"/>
      <c r="Q109" s="933"/>
      <c r="R109" s="933"/>
      <c r="S109" s="933"/>
      <c r="T109" s="933"/>
    </row>
    <row r="110" spans="1:20" ht="12.75">
      <c r="A110" s="954" t="s">
        <v>1121</v>
      </c>
      <c r="B110" s="944" t="s">
        <v>904</v>
      </c>
      <c r="C110" s="957" t="s">
        <v>1092</v>
      </c>
      <c r="D110" s="949">
        <f>+Ulaz!F110</f>
        <v>1891</v>
      </c>
      <c r="E110" s="949">
        <f>+Ulaz!J110</f>
        <v>715</v>
      </c>
      <c r="F110" s="949">
        <f>+Ulaz!N110</f>
        <v>413</v>
      </c>
      <c r="G110" s="949">
        <f>+Ulaz!R110</f>
        <v>232</v>
      </c>
      <c r="H110" s="949">
        <f>+Ulaz!V110</f>
        <v>232</v>
      </c>
      <c r="I110" s="949">
        <f>+Ulaz!Z110</f>
        <v>171</v>
      </c>
      <c r="J110" s="933"/>
      <c r="K110" s="933"/>
      <c r="L110" s="933"/>
      <c r="M110" s="933"/>
      <c r="N110" s="933"/>
      <c r="O110" s="933"/>
      <c r="P110" s="933"/>
      <c r="Q110" s="933"/>
      <c r="R110" s="933"/>
      <c r="S110" s="933"/>
      <c r="T110" s="933"/>
    </row>
    <row r="111" spans="1:20" ht="12.75">
      <c r="A111" s="954" t="s">
        <v>1122</v>
      </c>
      <c r="B111" s="944" t="s">
        <v>905</v>
      </c>
      <c r="C111" s="957" t="s">
        <v>1134</v>
      </c>
      <c r="D111" s="949">
        <f>+Ulaz!F111</f>
        <v>1531</v>
      </c>
      <c r="E111" s="949">
        <f>+Ulaz!J111</f>
        <v>751</v>
      </c>
      <c r="F111" s="949">
        <f>+Ulaz!N111</f>
        <v>628</v>
      </c>
      <c r="G111" s="949">
        <f>+Ulaz!R111</f>
        <v>372</v>
      </c>
      <c r="H111" s="949">
        <f>+Ulaz!V111</f>
        <v>283</v>
      </c>
      <c r="I111" s="949">
        <f>+Ulaz!Z111</f>
        <v>223</v>
      </c>
      <c r="J111" s="933"/>
      <c r="K111" s="933"/>
      <c r="L111" s="933"/>
      <c r="M111" s="933"/>
      <c r="N111" s="933"/>
      <c r="O111" s="933"/>
      <c r="P111" s="933"/>
      <c r="Q111" s="933"/>
      <c r="R111" s="933"/>
      <c r="S111" s="933"/>
      <c r="T111" s="933"/>
    </row>
    <row r="112" spans="1:20" ht="12.75">
      <c r="A112" s="954" t="s">
        <v>1123</v>
      </c>
      <c r="B112" s="944" t="s">
        <v>906</v>
      </c>
      <c r="C112" s="957" t="s">
        <v>212</v>
      </c>
      <c r="D112" s="949">
        <f>+Ulaz!F112</f>
        <v>68</v>
      </c>
      <c r="E112" s="949">
        <f>+Ulaz!J112</f>
        <v>49</v>
      </c>
      <c r="F112" s="949">
        <f>+Ulaz!N112</f>
        <v>86</v>
      </c>
      <c r="G112" s="949">
        <f>+Ulaz!R112</f>
        <v>54</v>
      </c>
      <c r="H112" s="949">
        <f>+Ulaz!V112</f>
        <v>29</v>
      </c>
      <c r="I112" s="949">
        <f>+Ulaz!Z112</f>
        <v>23</v>
      </c>
      <c r="J112" s="933"/>
      <c r="K112" s="933"/>
      <c r="L112" s="933"/>
      <c r="M112" s="933"/>
      <c r="N112" s="933"/>
      <c r="O112" s="933"/>
      <c r="P112" s="933"/>
      <c r="Q112" s="933"/>
      <c r="R112" s="933"/>
      <c r="S112" s="933"/>
      <c r="T112" s="933"/>
    </row>
    <row r="113" spans="1:20" ht="12.75">
      <c r="A113" s="954" t="s">
        <v>1124</v>
      </c>
      <c r="B113" s="944" t="s">
        <v>907</v>
      </c>
      <c r="C113" s="957" t="s">
        <v>1135</v>
      </c>
      <c r="D113" s="949">
        <f>+Ulaz!F113</f>
        <v>0</v>
      </c>
      <c r="E113" s="949">
        <f>+Ulaz!J113</f>
        <v>98</v>
      </c>
      <c r="F113" s="949">
        <f>+Ulaz!N113</f>
        <v>0</v>
      </c>
      <c r="G113" s="949">
        <f>+Ulaz!R113</f>
        <v>0</v>
      </c>
      <c r="H113" s="949">
        <f>+Ulaz!V113</f>
        <v>0</v>
      </c>
      <c r="I113" s="949">
        <f>+Ulaz!Z113</f>
        <v>0</v>
      </c>
      <c r="J113" s="933"/>
      <c r="K113" s="933"/>
      <c r="L113" s="933"/>
      <c r="M113" s="933"/>
      <c r="N113" s="933"/>
      <c r="O113" s="933"/>
      <c r="P113" s="933"/>
      <c r="Q113" s="933"/>
      <c r="R113" s="933"/>
      <c r="S113" s="933"/>
      <c r="T113" s="933"/>
    </row>
    <row r="114" spans="1:20" ht="12.75">
      <c r="A114" s="954" t="s">
        <v>782</v>
      </c>
      <c r="B114" s="944" t="s">
        <v>783</v>
      </c>
      <c r="C114" s="957" t="s">
        <v>211</v>
      </c>
      <c r="D114" s="949">
        <f>+Ulaz!F114</f>
        <v>0</v>
      </c>
      <c r="E114" s="949">
        <f>+Ulaz!J114</f>
        <v>0</v>
      </c>
      <c r="F114" s="949">
        <f>+Ulaz!N114</f>
        <v>0</v>
      </c>
      <c r="G114" s="949">
        <f>+Ulaz!R114</f>
        <v>0</v>
      </c>
      <c r="H114" s="949">
        <f>+Ulaz!V114</f>
        <v>0</v>
      </c>
      <c r="I114" s="949">
        <f>+Ulaz!Z114</f>
        <v>0</v>
      </c>
      <c r="J114" s="933"/>
      <c r="K114" s="933"/>
      <c r="L114" s="933"/>
      <c r="M114" s="933"/>
      <c r="N114" s="933"/>
      <c r="O114" s="933"/>
      <c r="P114" s="933"/>
      <c r="Q114" s="933"/>
      <c r="R114" s="933"/>
      <c r="S114" s="933"/>
      <c r="T114" s="933"/>
    </row>
    <row r="115" spans="1:20" ht="25.5">
      <c r="A115" s="960" t="s">
        <v>784</v>
      </c>
      <c r="B115" s="956" t="s">
        <v>785</v>
      </c>
      <c r="C115" s="957" t="s">
        <v>213</v>
      </c>
      <c r="D115" s="949">
        <f>+Ulaz!F115</f>
        <v>0</v>
      </c>
      <c r="E115" s="949">
        <f>+Ulaz!J115</f>
        <v>0</v>
      </c>
      <c r="F115" s="949">
        <f>+Ulaz!N115</f>
        <v>0</v>
      </c>
      <c r="G115" s="949">
        <f>+Ulaz!R115</f>
        <v>0</v>
      </c>
      <c r="H115" s="949">
        <f>+Ulaz!V115</f>
        <v>0</v>
      </c>
      <c r="I115" s="949">
        <f>+Ulaz!Z115</f>
        <v>0</v>
      </c>
      <c r="J115" s="933"/>
      <c r="K115" s="933"/>
      <c r="L115" s="933"/>
      <c r="M115" s="933"/>
      <c r="N115" s="933"/>
      <c r="O115" s="933"/>
      <c r="P115" s="933"/>
      <c r="Q115" s="933"/>
      <c r="R115" s="933"/>
      <c r="S115" s="933"/>
      <c r="T115" s="933"/>
    </row>
    <row r="116" spans="1:20" ht="12.75">
      <c r="A116" s="954"/>
      <c r="B116" s="953" t="s">
        <v>908</v>
      </c>
      <c r="C116" s="958" t="s">
        <v>204</v>
      </c>
      <c r="D116" s="949">
        <f>+Ulaz!F116</f>
        <v>95711</v>
      </c>
      <c r="E116" s="949">
        <f>+Ulaz!J116</f>
        <v>75108</v>
      </c>
      <c r="F116" s="949">
        <f>+Ulaz!N116</f>
        <v>55216</v>
      </c>
      <c r="G116" s="949">
        <f>+Ulaz!R116</f>
        <v>26983</v>
      </c>
      <c r="H116" s="949">
        <f>+Ulaz!V116</f>
        <v>17462</v>
      </c>
      <c r="I116" s="949">
        <f>+Ulaz!Z116</f>
        <v>11430</v>
      </c>
      <c r="J116" s="933"/>
      <c r="K116" s="933"/>
      <c r="L116" s="933"/>
      <c r="M116" s="933"/>
      <c r="N116" s="933"/>
      <c r="O116" s="933"/>
      <c r="P116" s="933"/>
      <c r="Q116" s="933"/>
      <c r="R116" s="933"/>
      <c r="S116" s="933"/>
      <c r="T116" s="933"/>
    </row>
    <row r="117" spans="1:20" ht="12.75">
      <c r="A117" s="954" t="s">
        <v>909</v>
      </c>
      <c r="B117" s="944" t="s">
        <v>910</v>
      </c>
      <c r="C117" s="957" t="s">
        <v>913</v>
      </c>
      <c r="D117" s="949">
        <f>+Ulaz!F117</f>
        <v>0</v>
      </c>
      <c r="E117" s="949">
        <f>+Ulaz!J117</f>
        <v>0</v>
      </c>
      <c r="F117" s="949">
        <f>+Ulaz!N117</f>
        <v>187</v>
      </c>
      <c r="G117" s="949">
        <f>+Ulaz!R117</f>
        <v>123</v>
      </c>
      <c r="H117" s="949">
        <f>+Ulaz!V117</f>
        <v>84</v>
      </c>
      <c r="I117" s="949">
        <f>+Ulaz!Z117</f>
        <v>46</v>
      </c>
      <c r="J117" s="933"/>
      <c r="K117" s="933"/>
      <c r="L117" s="933"/>
      <c r="M117" s="933"/>
      <c r="N117" s="933"/>
      <c r="O117" s="933"/>
      <c r="P117" s="933"/>
      <c r="Q117" s="933"/>
      <c r="R117" s="933"/>
      <c r="S117" s="933"/>
      <c r="T117" s="933"/>
    </row>
    <row r="118" spans="1:20" ht="12.75">
      <c r="A118" s="954"/>
      <c r="B118" s="953" t="s">
        <v>911</v>
      </c>
      <c r="C118" s="958" t="s">
        <v>786</v>
      </c>
      <c r="D118" s="949">
        <f>+Ulaz!F118</f>
        <v>95711</v>
      </c>
      <c r="E118" s="949">
        <f>+Ulaz!J118</f>
        <v>75108</v>
      </c>
      <c r="F118" s="949">
        <f>+Ulaz!N118</f>
        <v>55403</v>
      </c>
      <c r="G118" s="949">
        <f>+Ulaz!R118</f>
        <v>27106</v>
      </c>
      <c r="H118" s="949">
        <f>+Ulaz!V118</f>
        <v>17546</v>
      </c>
      <c r="I118" s="949">
        <f>+Ulaz!Z118</f>
        <v>11476</v>
      </c>
      <c r="J118" s="933"/>
      <c r="K118" s="933"/>
      <c r="L118" s="933"/>
      <c r="M118" s="933"/>
      <c r="N118" s="933"/>
      <c r="O118" s="933"/>
      <c r="P118" s="933"/>
      <c r="Q118" s="933"/>
      <c r="R118" s="933"/>
      <c r="S118" s="933"/>
      <c r="T118" s="933"/>
    </row>
    <row r="119" spans="1:20" ht="12.75">
      <c r="A119" s="954" t="s">
        <v>1137</v>
      </c>
      <c r="B119" s="944" t="s">
        <v>912</v>
      </c>
      <c r="C119" s="957" t="s">
        <v>787</v>
      </c>
      <c r="D119" s="949">
        <f>+Ulaz!F119</f>
        <v>2886</v>
      </c>
      <c r="E119" s="949">
        <f>+Ulaz!J119</f>
        <v>0</v>
      </c>
      <c r="F119" s="949">
        <f>+Ulaz!N119</f>
        <v>0</v>
      </c>
      <c r="G119" s="949">
        <f>+Ulaz!R119</f>
        <v>0</v>
      </c>
      <c r="H119" s="949">
        <f>+Ulaz!V119</f>
        <v>0</v>
      </c>
      <c r="I119" s="949">
        <f>+Ulaz!Z119</f>
        <v>0</v>
      </c>
      <c r="J119" s="933"/>
      <c r="K119" s="933"/>
      <c r="L119" s="933"/>
      <c r="M119" s="933"/>
      <c r="N119" s="933"/>
      <c r="O119" s="933"/>
      <c r="P119" s="933"/>
      <c r="Q119" s="933"/>
      <c r="R119" s="933"/>
      <c r="S119" s="933"/>
      <c r="T119" s="933"/>
    </row>
    <row r="120" spans="1:20" ht="12.75">
      <c r="A120" s="939"/>
      <c r="B120" s="932"/>
      <c r="C120" s="932"/>
      <c r="D120" s="932"/>
      <c r="E120" s="932"/>
      <c r="F120" s="932"/>
      <c r="G120" s="932"/>
      <c r="H120" s="932"/>
      <c r="I120" s="932"/>
      <c r="J120" s="933"/>
      <c r="K120" s="933"/>
      <c r="L120" s="933"/>
      <c r="M120" s="933"/>
      <c r="N120" s="933"/>
      <c r="O120" s="933"/>
      <c r="P120" s="933"/>
      <c r="Q120" s="933"/>
      <c r="R120" s="933"/>
      <c r="S120" s="933"/>
      <c r="T120" s="933"/>
    </row>
    <row r="121" spans="1:20" ht="12.75">
      <c r="A121" s="939"/>
      <c r="B121" s="932"/>
      <c r="C121" s="932"/>
      <c r="D121" s="932"/>
      <c r="E121" s="932"/>
      <c r="F121" s="932"/>
      <c r="G121" s="932"/>
      <c r="H121" s="932"/>
      <c r="I121" s="932"/>
      <c r="J121" s="933"/>
      <c r="K121" s="933"/>
      <c r="L121" s="933"/>
      <c r="M121" s="933"/>
      <c r="N121" s="933"/>
      <c r="O121" s="933"/>
      <c r="P121" s="933"/>
      <c r="Q121" s="933"/>
      <c r="R121" s="933"/>
      <c r="S121" s="933"/>
      <c r="T121" s="933"/>
    </row>
    <row r="122" spans="1:20" ht="15">
      <c r="A122" s="940"/>
      <c r="B122" s="932"/>
      <c r="C122" s="931" t="s">
        <v>914</v>
      </c>
      <c r="D122" s="932"/>
      <c r="E122" s="932"/>
      <c r="F122" s="932"/>
      <c r="G122" s="932"/>
      <c r="H122" s="932"/>
      <c r="I122" s="932"/>
      <c r="J122" s="933"/>
      <c r="K122" s="933"/>
      <c r="L122" s="933"/>
      <c r="M122" s="933"/>
      <c r="N122" s="933"/>
      <c r="O122" s="933"/>
      <c r="P122" s="933"/>
      <c r="Q122" s="933"/>
      <c r="R122" s="933"/>
      <c r="S122" s="933"/>
      <c r="T122" s="933"/>
    </row>
    <row r="123" spans="1:20" ht="12.75">
      <c r="A123" s="940"/>
      <c r="B123" s="932"/>
      <c r="C123" s="932"/>
      <c r="D123" s="932"/>
      <c r="E123" s="932"/>
      <c r="F123" s="932"/>
      <c r="G123" s="932"/>
      <c r="H123" s="932"/>
      <c r="I123" s="932"/>
      <c r="J123" s="933"/>
      <c r="K123" s="933"/>
      <c r="L123" s="933"/>
      <c r="M123" s="933"/>
      <c r="N123" s="933"/>
      <c r="O123" s="933"/>
      <c r="P123" s="933"/>
      <c r="Q123" s="933"/>
      <c r="R123" s="933"/>
      <c r="S123" s="933"/>
      <c r="T123" s="933"/>
    </row>
    <row r="124" spans="1:20" ht="12.75">
      <c r="A124" s="940"/>
      <c r="B124" s="935" t="s">
        <v>802</v>
      </c>
      <c r="C124" s="932"/>
      <c r="D124" s="932"/>
      <c r="E124" s="932"/>
      <c r="F124" s="932"/>
      <c r="G124" s="932"/>
      <c r="H124" s="932"/>
      <c r="I124" s="932"/>
      <c r="J124" s="933"/>
      <c r="K124" s="933"/>
      <c r="L124" s="933"/>
      <c r="M124" s="933"/>
      <c r="N124" s="933"/>
      <c r="O124" s="933"/>
      <c r="P124" s="933"/>
      <c r="Q124" s="933"/>
      <c r="R124" s="933"/>
      <c r="S124" s="933"/>
      <c r="T124" s="933"/>
    </row>
    <row r="125" spans="1:20" ht="12.75">
      <c r="A125" s="940"/>
      <c r="B125" s="932"/>
      <c r="C125" s="932"/>
      <c r="D125" s="932" t="str">
        <f>+B3</f>
        <v>U 000 din</v>
      </c>
      <c r="E125" s="932"/>
      <c r="F125" s="932"/>
      <c r="G125" s="932"/>
      <c r="H125" s="932"/>
      <c r="I125" s="932"/>
      <c r="J125" s="933"/>
      <c r="K125" s="933"/>
      <c r="L125" s="933"/>
      <c r="M125" s="933"/>
      <c r="N125" s="933"/>
      <c r="O125" s="933"/>
      <c r="P125" s="933"/>
      <c r="Q125" s="933"/>
      <c r="R125" s="933"/>
      <c r="S125" s="933"/>
      <c r="T125" s="933"/>
    </row>
    <row r="126" spans="1:20" ht="12.75">
      <c r="A126" s="961" t="s">
        <v>915</v>
      </c>
      <c r="B126" s="950" t="s">
        <v>1441</v>
      </c>
      <c r="C126" s="962" t="s">
        <v>424</v>
      </c>
      <c r="D126" s="963" t="str">
        <f>+Ulaz!F126</f>
        <v>2002.</v>
      </c>
      <c r="E126" s="963">
        <f>+Ulaz!J126</f>
        <v>2001</v>
      </c>
      <c r="F126" s="963">
        <f>+Ulaz!N126</f>
        <v>2000</v>
      </c>
      <c r="G126" s="963">
        <f>+Ulaz!R126</f>
        <v>1999</v>
      </c>
      <c r="H126" s="963">
        <f>+Ulaz!V126</f>
        <v>1998</v>
      </c>
      <c r="I126" s="963">
        <f>+Ulaz!Z126</f>
        <v>1997</v>
      </c>
      <c r="J126" s="933"/>
      <c r="K126" s="933"/>
      <c r="L126" s="933"/>
      <c r="M126" s="933"/>
      <c r="N126" s="933"/>
      <c r="O126" s="933"/>
      <c r="P126" s="933"/>
      <c r="Q126" s="933"/>
      <c r="R126" s="933"/>
      <c r="S126" s="933"/>
      <c r="T126" s="933"/>
    </row>
    <row r="127" spans="1:20" ht="12.75">
      <c r="A127" s="961"/>
      <c r="B127" s="950"/>
      <c r="C127" s="962"/>
      <c r="D127" s="949" t="str">
        <f>+Ulaz!F127</f>
        <v>Iznos</v>
      </c>
      <c r="E127" s="949" t="str">
        <f>+Ulaz!J127</f>
        <v>Iznos</v>
      </c>
      <c r="F127" s="949" t="str">
        <f>+Ulaz!N127</f>
        <v>Iznos</v>
      </c>
      <c r="G127" s="949" t="str">
        <f>+Ulaz!R127</f>
        <v>Iznos</v>
      </c>
      <c r="H127" s="949" t="str">
        <f>+Ulaz!V127</f>
        <v>Iznos</v>
      </c>
      <c r="I127" s="949" t="str">
        <f>+Ulaz!Z127</f>
        <v>Iznos</v>
      </c>
      <c r="J127" s="933"/>
      <c r="K127" s="933"/>
      <c r="L127" s="933"/>
      <c r="M127" s="933"/>
      <c r="N127" s="933"/>
      <c r="O127" s="933"/>
      <c r="P127" s="933"/>
      <c r="Q127" s="933"/>
      <c r="R127" s="933"/>
      <c r="S127" s="933"/>
      <c r="T127" s="933"/>
    </row>
    <row r="128" spans="1:20" ht="15.75">
      <c r="A128" s="961" t="s">
        <v>916</v>
      </c>
      <c r="B128" s="964" t="s">
        <v>917</v>
      </c>
      <c r="C128" s="965"/>
      <c r="D128" s="944"/>
      <c r="E128" s="944"/>
      <c r="F128" s="944"/>
      <c r="G128" s="944"/>
      <c r="H128" s="944"/>
      <c r="I128" s="944"/>
      <c r="J128" s="933"/>
      <c r="K128" s="933"/>
      <c r="L128" s="933"/>
      <c r="M128" s="933"/>
      <c r="N128" s="933"/>
      <c r="O128" s="933"/>
      <c r="P128" s="933"/>
      <c r="Q128" s="933"/>
      <c r="R128" s="933"/>
      <c r="S128" s="933"/>
      <c r="T128" s="933"/>
    </row>
    <row r="129" spans="1:20" ht="12.75">
      <c r="A129" s="961"/>
      <c r="B129" s="944" t="s">
        <v>618</v>
      </c>
      <c r="C129" s="965">
        <v>201</v>
      </c>
      <c r="D129" s="949">
        <f>+Ulaz!F129</f>
        <v>100551</v>
      </c>
      <c r="E129" s="949">
        <f>+Ulaz!J129</f>
        <v>43105</v>
      </c>
      <c r="F129" s="949">
        <f>+Ulaz!N129</f>
        <v>25162</v>
      </c>
      <c r="G129" s="949">
        <f>+Ulaz!R129</f>
        <v>9934</v>
      </c>
      <c r="H129" s="949">
        <f>+Ulaz!V129</f>
        <v>10251</v>
      </c>
      <c r="I129" s="949">
        <f>+Ulaz!Z129</f>
        <v>7312</v>
      </c>
      <c r="J129" s="933"/>
      <c r="K129" s="933"/>
      <c r="L129" s="933"/>
      <c r="M129" s="933"/>
      <c r="N129" s="933"/>
      <c r="O129" s="933"/>
      <c r="P129" s="933"/>
      <c r="Q129" s="933"/>
      <c r="R129" s="933"/>
      <c r="S129" s="933"/>
      <c r="T129" s="933"/>
    </row>
    <row r="130" spans="1:20" ht="12.75">
      <c r="A130" s="961"/>
      <c r="B130" s="953" t="s">
        <v>918</v>
      </c>
      <c r="C130" s="965">
        <f>+C129+1</f>
        <v>202</v>
      </c>
      <c r="D130" s="949">
        <f>+Ulaz!F130</f>
        <v>0</v>
      </c>
      <c r="E130" s="949">
        <f>+Ulaz!J130</f>
        <v>0</v>
      </c>
      <c r="F130" s="949">
        <f>+Ulaz!N130</f>
        <v>0</v>
      </c>
      <c r="G130" s="949">
        <f>+Ulaz!R130</f>
        <v>93</v>
      </c>
      <c r="H130" s="949">
        <f>+Ulaz!V130</f>
        <v>0</v>
      </c>
      <c r="I130" s="949">
        <f>+Ulaz!Z130</f>
        <v>0</v>
      </c>
      <c r="J130" s="933"/>
      <c r="K130" s="933"/>
      <c r="L130" s="933"/>
      <c r="M130" s="933"/>
      <c r="N130" s="933"/>
      <c r="O130" s="933"/>
      <c r="P130" s="933"/>
      <c r="Q130" s="933"/>
      <c r="R130" s="933"/>
      <c r="S130" s="933"/>
      <c r="T130" s="933"/>
    </row>
    <row r="131" spans="1:20" ht="12.75">
      <c r="A131" s="961">
        <v>600</v>
      </c>
      <c r="B131" s="944" t="s">
        <v>919</v>
      </c>
      <c r="C131" s="965">
        <f aca="true" t="shared" si="2" ref="C131:C194">+C130+1</f>
        <v>203</v>
      </c>
      <c r="D131" s="949">
        <f>+Ulaz!F131</f>
        <v>0</v>
      </c>
      <c r="E131" s="949">
        <f>+Ulaz!J131</f>
        <v>0</v>
      </c>
      <c r="F131" s="949">
        <f>+Ulaz!N131</f>
        <v>0</v>
      </c>
      <c r="G131" s="949">
        <f>+Ulaz!R131</f>
        <v>0</v>
      </c>
      <c r="H131" s="949">
        <f>+Ulaz!V131</f>
        <v>0</v>
      </c>
      <c r="I131" s="949">
        <f>+Ulaz!Z131</f>
        <v>0</v>
      </c>
      <c r="J131" s="933"/>
      <c r="K131" s="933"/>
      <c r="L131" s="933"/>
      <c r="M131" s="933"/>
      <c r="N131" s="933"/>
      <c r="O131" s="933"/>
      <c r="P131" s="933"/>
      <c r="Q131" s="933"/>
      <c r="R131" s="933"/>
      <c r="S131" s="933"/>
      <c r="T131" s="933"/>
    </row>
    <row r="132" spans="1:20" ht="12.75">
      <c r="A132" s="961">
        <v>601</v>
      </c>
      <c r="B132" s="944" t="s">
        <v>920</v>
      </c>
      <c r="C132" s="965">
        <f t="shared" si="2"/>
        <v>204</v>
      </c>
      <c r="D132" s="949">
        <f>+Ulaz!F132</f>
        <v>0</v>
      </c>
      <c r="E132" s="949">
        <f>+Ulaz!J132</f>
        <v>0</v>
      </c>
      <c r="F132" s="949">
        <f>+Ulaz!N132</f>
        <v>0</v>
      </c>
      <c r="G132" s="949">
        <f>+Ulaz!R132</f>
        <v>93</v>
      </c>
      <c r="H132" s="949">
        <f>+Ulaz!V132</f>
        <v>0</v>
      </c>
      <c r="I132" s="949">
        <f>+Ulaz!Z132</f>
        <v>0</v>
      </c>
      <c r="J132" s="933"/>
      <c r="K132" s="933"/>
      <c r="L132" s="933"/>
      <c r="M132" s="933"/>
      <c r="N132" s="933"/>
      <c r="O132" s="933"/>
      <c r="P132" s="933"/>
      <c r="Q132" s="933"/>
      <c r="R132" s="933"/>
      <c r="S132" s="933"/>
      <c r="T132" s="933"/>
    </row>
    <row r="133" spans="1:20" ht="12.75">
      <c r="A133" s="961">
        <v>602</v>
      </c>
      <c r="B133" s="944" t="s">
        <v>921</v>
      </c>
      <c r="C133" s="965">
        <f t="shared" si="2"/>
        <v>205</v>
      </c>
      <c r="D133" s="949">
        <f>+Ulaz!F133</f>
        <v>0</v>
      </c>
      <c r="E133" s="949">
        <f>+Ulaz!J133</f>
        <v>0</v>
      </c>
      <c r="F133" s="949">
        <f>+Ulaz!N133</f>
        <v>0</v>
      </c>
      <c r="G133" s="949">
        <f>+Ulaz!R133</f>
        <v>0</v>
      </c>
      <c r="H133" s="949">
        <f>+Ulaz!V133</f>
        <v>0</v>
      </c>
      <c r="I133" s="949">
        <f>+Ulaz!Z133</f>
        <v>0</v>
      </c>
      <c r="J133" s="933"/>
      <c r="K133" s="933"/>
      <c r="L133" s="933"/>
      <c r="M133" s="933"/>
      <c r="N133" s="933"/>
      <c r="O133" s="933"/>
      <c r="P133" s="933"/>
      <c r="Q133" s="933"/>
      <c r="R133" s="933"/>
      <c r="S133" s="933"/>
      <c r="T133" s="933"/>
    </row>
    <row r="134" spans="1:20" ht="12.75">
      <c r="A134" s="961"/>
      <c r="B134" s="953" t="s">
        <v>922</v>
      </c>
      <c r="C134" s="965">
        <f t="shared" si="2"/>
        <v>206</v>
      </c>
      <c r="D134" s="949">
        <f>+Ulaz!F134</f>
        <v>100039</v>
      </c>
      <c r="E134" s="949">
        <f>+Ulaz!J134</f>
        <v>42558</v>
      </c>
      <c r="F134" s="949">
        <f>+Ulaz!N134</f>
        <v>24994</v>
      </c>
      <c r="G134" s="949">
        <f>+Ulaz!R134</f>
        <v>9640</v>
      </c>
      <c r="H134" s="949">
        <f>+Ulaz!V134</f>
        <v>10176</v>
      </c>
      <c r="I134" s="949">
        <f>+Ulaz!Z134</f>
        <v>7312</v>
      </c>
      <c r="J134" s="933"/>
      <c r="K134" s="933"/>
      <c r="L134" s="933"/>
      <c r="M134" s="933"/>
      <c r="N134" s="933"/>
      <c r="O134" s="933"/>
      <c r="P134" s="933"/>
      <c r="Q134" s="933"/>
      <c r="R134" s="933"/>
      <c r="S134" s="933"/>
      <c r="T134" s="933"/>
    </row>
    <row r="135" spans="1:20" ht="12.75">
      <c r="A135" s="961">
        <v>610</v>
      </c>
      <c r="B135" s="944" t="s">
        <v>923</v>
      </c>
      <c r="C135" s="965">
        <f t="shared" si="2"/>
        <v>207</v>
      </c>
      <c r="D135" s="949">
        <f>+Ulaz!F135</f>
        <v>0</v>
      </c>
      <c r="E135" s="949">
        <f>+Ulaz!J135</f>
        <v>0</v>
      </c>
      <c r="F135" s="949">
        <f>+Ulaz!N135</f>
        <v>0</v>
      </c>
      <c r="G135" s="949">
        <f>+Ulaz!R135</f>
        <v>0</v>
      </c>
      <c r="H135" s="949">
        <f>+Ulaz!V135</f>
        <v>0</v>
      </c>
      <c r="I135" s="949">
        <f>+Ulaz!Z135</f>
        <v>0</v>
      </c>
      <c r="J135" s="933"/>
      <c r="K135" s="933"/>
      <c r="L135" s="933"/>
      <c r="M135" s="933"/>
      <c r="N135" s="933"/>
      <c r="O135" s="933"/>
      <c r="P135" s="933"/>
      <c r="Q135" s="933"/>
      <c r="R135" s="933"/>
      <c r="S135" s="933"/>
      <c r="T135" s="933"/>
    </row>
    <row r="136" spans="1:20" ht="12.75">
      <c r="A136" s="961">
        <v>611</v>
      </c>
      <c r="B136" s="944" t="s">
        <v>924</v>
      </c>
      <c r="C136" s="965">
        <f t="shared" si="2"/>
        <v>208</v>
      </c>
      <c r="D136" s="949">
        <f>+Ulaz!F136</f>
        <v>100039</v>
      </c>
      <c r="E136" s="949">
        <f>+Ulaz!J136</f>
        <v>42558</v>
      </c>
      <c r="F136" s="949">
        <f>+Ulaz!N136</f>
        <v>24994</v>
      </c>
      <c r="G136" s="949">
        <f>+Ulaz!R136</f>
        <v>9640</v>
      </c>
      <c r="H136" s="949">
        <f>+Ulaz!V136</f>
        <v>10176</v>
      </c>
      <c r="I136" s="949">
        <f>+Ulaz!Z136</f>
        <v>7312</v>
      </c>
      <c r="J136" s="933"/>
      <c r="K136" s="933"/>
      <c r="L136" s="933"/>
      <c r="M136" s="933"/>
      <c r="N136" s="933"/>
      <c r="O136" s="933"/>
      <c r="P136" s="933"/>
      <c r="Q136" s="933"/>
      <c r="R136" s="933"/>
      <c r="S136" s="933"/>
      <c r="T136" s="933"/>
    </row>
    <row r="137" spans="1:20" ht="12.75">
      <c r="A137" s="961">
        <v>612</v>
      </c>
      <c r="B137" s="944" t="s">
        <v>925</v>
      </c>
      <c r="C137" s="965">
        <f t="shared" si="2"/>
        <v>209</v>
      </c>
      <c r="D137" s="949">
        <f>+Ulaz!F137</f>
        <v>0</v>
      </c>
      <c r="E137" s="949">
        <f>+Ulaz!J137</f>
        <v>0</v>
      </c>
      <c r="F137" s="949">
        <f>+Ulaz!N137</f>
        <v>0</v>
      </c>
      <c r="G137" s="949">
        <f>+Ulaz!R137</f>
        <v>0</v>
      </c>
      <c r="H137" s="949">
        <f>+Ulaz!V137</f>
        <v>0</v>
      </c>
      <c r="I137" s="949">
        <f>+Ulaz!Z137</f>
        <v>0</v>
      </c>
      <c r="J137" s="933"/>
      <c r="K137" s="933"/>
      <c r="L137" s="933"/>
      <c r="M137" s="933"/>
      <c r="N137" s="933"/>
      <c r="O137" s="933"/>
      <c r="P137" s="933"/>
      <c r="Q137" s="933"/>
      <c r="R137" s="933"/>
      <c r="S137" s="933"/>
      <c r="T137" s="933"/>
    </row>
    <row r="138" spans="1:20" ht="12.75">
      <c r="A138" s="961">
        <v>62</v>
      </c>
      <c r="B138" s="944" t="s">
        <v>926</v>
      </c>
      <c r="C138" s="965">
        <f t="shared" si="2"/>
        <v>210</v>
      </c>
      <c r="D138" s="949">
        <f>+Ulaz!F138</f>
        <v>0</v>
      </c>
      <c r="E138" s="949">
        <f>+Ulaz!J138</f>
        <v>0</v>
      </c>
      <c r="F138" s="949">
        <f>+Ulaz!N138</f>
        <v>0</v>
      </c>
      <c r="G138" s="949">
        <f>+Ulaz!R138</f>
        <v>0</v>
      </c>
      <c r="H138" s="949">
        <f>+Ulaz!V138</f>
        <v>0</v>
      </c>
      <c r="I138" s="949">
        <f>+Ulaz!Z138</f>
        <v>0</v>
      </c>
      <c r="J138" s="933"/>
      <c r="K138" s="933"/>
      <c r="L138" s="933"/>
      <c r="M138" s="933"/>
      <c r="N138" s="933"/>
      <c r="O138" s="933"/>
      <c r="P138" s="933"/>
      <c r="Q138" s="933"/>
      <c r="R138" s="933"/>
      <c r="S138" s="933"/>
      <c r="T138" s="933"/>
    </row>
    <row r="139" spans="1:20" ht="12.75">
      <c r="A139" s="961">
        <v>64</v>
      </c>
      <c r="B139" s="944" t="s">
        <v>927</v>
      </c>
      <c r="C139" s="965">
        <f t="shared" si="2"/>
        <v>211</v>
      </c>
      <c r="D139" s="949">
        <f>+Ulaz!F139</f>
        <v>505</v>
      </c>
      <c r="E139" s="949">
        <f>+Ulaz!J139</f>
        <v>537</v>
      </c>
      <c r="F139" s="949">
        <f>+Ulaz!N139</f>
        <v>162</v>
      </c>
      <c r="G139" s="949">
        <f>+Ulaz!R139</f>
        <v>201</v>
      </c>
      <c r="H139" s="949">
        <f>+Ulaz!V139</f>
        <v>75</v>
      </c>
      <c r="I139" s="949">
        <f>+Ulaz!Z139</f>
        <v>0</v>
      </c>
      <c r="J139" s="933"/>
      <c r="K139" s="933"/>
      <c r="L139" s="933"/>
      <c r="M139" s="933"/>
      <c r="N139" s="933"/>
      <c r="O139" s="933"/>
      <c r="P139" s="933"/>
      <c r="Q139" s="933"/>
      <c r="R139" s="933"/>
      <c r="S139" s="933"/>
      <c r="T139" s="933"/>
    </row>
    <row r="140" spans="1:20" ht="12.75">
      <c r="A140" s="961">
        <v>65</v>
      </c>
      <c r="B140" s="944" t="s">
        <v>928</v>
      </c>
      <c r="C140" s="965">
        <f t="shared" si="2"/>
        <v>212</v>
      </c>
      <c r="D140" s="949">
        <f>+Ulaz!F140</f>
        <v>7</v>
      </c>
      <c r="E140" s="949">
        <f>+Ulaz!J140</f>
        <v>10</v>
      </c>
      <c r="F140" s="949">
        <f>+Ulaz!N140</f>
        <v>6</v>
      </c>
      <c r="G140" s="949">
        <f>+Ulaz!R140</f>
        <v>0</v>
      </c>
      <c r="H140" s="949">
        <f>+Ulaz!V140</f>
        <v>0</v>
      </c>
      <c r="I140" s="949">
        <f>+Ulaz!Z140</f>
        <v>0</v>
      </c>
      <c r="J140" s="933"/>
      <c r="K140" s="933"/>
      <c r="L140" s="933"/>
      <c r="M140" s="933"/>
      <c r="N140" s="933"/>
      <c r="O140" s="933"/>
      <c r="P140" s="933"/>
      <c r="Q140" s="933"/>
      <c r="R140" s="933"/>
      <c r="S140" s="933"/>
      <c r="T140" s="933"/>
    </row>
    <row r="141" spans="1:20" ht="12.75">
      <c r="A141" s="961">
        <v>630</v>
      </c>
      <c r="B141" s="944" t="s">
        <v>619</v>
      </c>
      <c r="C141" s="965">
        <f t="shared" si="2"/>
        <v>213</v>
      </c>
      <c r="D141" s="949">
        <f>+Ulaz!F141</f>
        <v>0</v>
      </c>
      <c r="E141" s="949">
        <f>+Ulaz!J141</f>
        <v>0</v>
      </c>
      <c r="F141" s="949">
        <f>+Ulaz!N141</f>
        <v>0</v>
      </c>
      <c r="G141" s="949">
        <f>+Ulaz!R141</f>
        <v>0</v>
      </c>
      <c r="H141" s="949">
        <f>+Ulaz!V141</f>
        <v>0</v>
      </c>
      <c r="I141" s="949">
        <f>+Ulaz!Z141</f>
        <v>0</v>
      </c>
      <c r="J141" s="933"/>
      <c r="K141" s="933"/>
      <c r="L141" s="933"/>
      <c r="M141" s="933"/>
      <c r="N141" s="933"/>
      <c r="O141" s="933"/>
      <c r="P141" s="933"/>
      <c r="Q141" s="933"/>
      <c r="R141" s="933"/>
      <c r="S141" s="933"/>
      <c r="T141" s="933"/>
    </row>
    <row r="142" spans="1:20" ht="12.75">
      <c r="A142" s="961">
        <v>631</v>
      </c>
      <c r="B142" s="944" t="s">
        <v>930</v>
      </c>
      <c r="C142" s="965">
        <f t="shared" si="2"/>
        <v>214</v>
      </c>
      <c r="D142" s="949">
        <f>+Ulaz!F142</f>
        <v>0</v>
      </c>
      <c r="E142" s="949">
        <f>+Ulaz!J142</f>
        <v>0</v>
      </c>
      <c r="F142" s="949">
        <f>+Ulaz!N142</f>
        <v>0</v>
      </c>
      <c r="G142" s="949">
        <f>+Ulaz!R142</f>
        <v>0</v>
      </c>
      <c r="H142" s="949">
        <f>+Ulaz!V142</f>
        <v>0</v>
      </c>
      <c r="I142" s="949">
        <f>+Ulaz!Z142</f>
        <v>0</v>
      </c>
      <c r="J142" s="933"/>
      <c r="K142" s="933"/>
      <c r="L142" s="933"/>
      <c r="M142" s="933"/>
      <c r="N142" s="933"/>
      <c r="O142" s="933"/>
      <c r="P142" s="933"/>
      <c r="Q142" s="933"/>
      <c r="R142" s="933"/>
      <c r="S142" s="933"/>
      <c r="T142" s="933"/>
    </row>
    <row r="143" spans="1:20" ht="12.75">
      <c r="A143" s="966"/>
      <c r="B143" s="966" t="s">
        <v>931</v>
      </c>
      <c r="C143" s="965">
        <f>+C142+1</f>
        <v>215</v>
      </c>
      <c r="D143" s="949">
        <f>+Ulaz!F143</f>
        <v>100551</v>
      </c>
      <c r="E143" s="949">
        <f>+Ulaz!J143</f>
        <v>43105</v>
      </c>
      <c r="F143" s="949">
        <f>+Ulaz!N143</f>
        <v>25162</v>
      </c>
      <c r="G143" s="949">
        <f>+Ulaz!R143</f>
        <v>9934</v>
      </c>
      <c r="H143" s="949">
        <f>+Ulaz!V143</f>
        <v>10251</v>
      </c>
      <c r="I143" s="949">
        <f>+Ulaz!Z143</f>
        <v>7312</v>
      </c>
      <c r="J143" s="933"/>
      <c r="K143" s="933"/>
      <c r="L143" s="933"/>
      <c r="M143" s="933"/>
      <c r="N143" s="933"/>
      <c r="O143" s="933"/>
      <c r="P143" s="933"/>
      <c r="Q143" s="933"/>
      <c r="R143" s="933"/>
      <c r="S143" s="933"/>
      <c r="T143" s="933"/>
    </row>
    <row r="144" spans="1:20" ht="12.75">
      <c r="A144" s="966"/>
      <c r="B144" s="966" t="s">
        <v>620</v>
      </c>
      <c r="C144" s="965">
        <f t="shared" si="2"/>
        <v>216</v>
      </c>
      <c r="D144" s="949">
        <f>+Ulaz!F144</f>
        <v>0</v>
      </c>
      <c r="E144" s="949">
        <f>+Ulaz!J144</f>
        <v>0</v>
      </c>
      <c r="F144" s="949">
        <f>+Ulaz!N144</f>
        <v>0</v>
      </c>
      <c r="G144" s="949">
        <f>+Ulaz!R144</f>
        <v>0</v>
      </c>
      <c r="H144" s="949">
        <f>+Ulaz!V144</f>
        <v>0</v>
      </c>
      <c r="I144" s="949">
        <f>+Ulaz!Z144</f>
        <v>0</v>
      </c>
      <c r="J144" s="933"/>
      <c r="K144" s="933"/>
      <c r="L144" s="933"/>
      <c r="M144" s="933"/>
      <c r="N144" s="933"/>
      <c r="O144" s="933"/>
      <c r="P144" s="933"/>
      <c r="Q144" s="933"/>
      <c r="R144" s="933"/>
      <c r="S144" s="933"/>
      <c r="T144" s="933"/>
    </row>
    <row r="145" spans="1:20" ht="12.75">
      <c r="A145" s="961"/>
      <c r="B145" s="944" t="s">
        <v>932</v>
      </c>
      <c r="C145" s="965">
        <f t="shared" si="2"/>
        <v>217</v>
      </c>
      <c r="D145" s="949">
        <f>+Ulaz!F145</f>
        <v>22189</v>
      </c>
      <c r="E145" s="949">
        <f>+Ulaz!J145</f>
        <v>10453</v>
      </c>
      <c r="F145" s="949">
        <f>+Ulaz!N145</f>
        <v>4438</v>
      </c>
      <c r="G145" s="949">
        <f>+Ulaz!R145</f>
        <v>1530</v>
      </c>
      <c r="H145" s="949">
        <f>+Ulaz!V145</f>
        <v>1874</v>
      </c>
      <c r="I145" s="949">
        <f>+Ulaz!Z145</f>
        <v>1296</v>
      </c>
      <c r="J145" s="933"/>
      <c r="K145" s="933"/>
      <c r="L145" s="933"/>
      <c r="M145" s="933"/>
      <c r="N145" s="933"/>
      <c r="O145" s="933"/>
      <c r="P145" s="933"/>
      <c r="Q145" s="933"/>
      <c r="R145" s="933"/>
      <c r="S145" s="933"/>
      <c r="T145" s="933"/>
    </row>
    <row r="146" spans="1:20" ht="12.75">
      <c r="A146" s="961">
        <v>501</v>
      </c>
      <c r="B146" s="944" t="s">
        <v>933</v>
      </c>
      <c r="C146" s="965">
        <f t="shared" si="2"/>
        <v>218</v>
      </c>
      <c r="D146" s="949">
        <f>+Ulaz!F146</f>
        <v>0</v>
      </c>
      <c r="E146" s="949">
        <f>+Ulaz!J146</f>
        <v>10453</v>
      </c>
      <c r="F146" s="949">
        <f>+Ulaz!N146</f>
        <v>7</v>
      </c>
      <c r="G146" s="949">
        <f>+Ulaz!R146</f>
        <v>84</v>
      </c>
      <c r="H146" s="949">
        <f>+Ulaz!V146</f>
        <v>0</v>
      </c>
      <c r="I146" s="949">
        <f>+Ulaz!Z146</f>
        <v>0</v>
      </c>
      <c r="J146" s="933"/>
      <c r="K146" s="933"/>
      <c r="L146" s="933"/>
      <c r="M146" s="933"/>
      <c r="N146" s="933"/>
      <c r="O146" s="933"/>
      <c r="P146" s="933"/>
      <c r="Q146" s="933"/>
      <c r="R146" s="933"/>
      <c r="S146" s="933"/>
      <c r="T146" s="933"/>
    </row>
    <row r="147" spans="1:20" ht="12.75">
      <c r="A147" s="961">
        <v>511</v>
      </c>
      <c r="B147" s="944" t="s">
        <v>983</v>
      </c>
      <c r="C147" s="965">
        <f t="shared" si="2"/>
        <v>219</v>
      </c>
      <c r="D147" s="949">
        <f>+Ulaz!F147</f>
        <v>22189</v>
      </c>
      <c r="E147" s="949">
        <f>+Ulaz!J147</f>
        <v>0</v>
      </c>
      <c r="F147" s="949">
        <f>+Ulaz!N147</f>
        <v>4431</v>
      </c>
      <c r="G147" s="949">
        <f>+Ulaz!R147</f>
        <v>1446</v>
      </c>
      <c r="H147" s="949">
        <f>+Ulaz!V147</f>
        <v>1874</v>
      </c>
      <c r="I147" s="949">
        <f>+Ulaz!Z147</f>
        <v>1296</v>
      </c>
      <c r="J147" s="933"/>
      <c r="K147" s="933"/>
      <c r="L147" s="933"/>
      <c r="M147" s="933"/>
      <c r="N147" s="933"/>
      <c r="O147" s="933"/>
      <c r="P147" s="933"/>
      <c r="Q147" s="933"/>
      <c r="R147" s="933"/>
      <c r="S147" s="933"/>
      <c r="T147" s="933"/>
    </row>
    <row r="148" spans="1:20" ht="12.75">
      <c r="A148" s="961"/>
      <c r="B148" s="944" t="s">
        <v>621</v>
      </c>
      <c r="C148" s="965">
        <f t="shared" si="2"/>
        <v>220</v>
      </c>
      <c r="D148" s="949">
        <f>+Ulaz!F148</f>
        <v>78362</v>
      </c>
      <c r="E148" s="949">
        <f>+Ulaz!J148</f>
        <v>32652</v>
      </c>
      <c r="F148" s="949">
        <f>+Ulaz!N148</f>
        <v>20724</v>
      </c>
      <c r="G148" s="949">
        <f>+Ulaz!R148</f>
        <v>8404</v>
      </c>
      <c r="H148" s="949">
        <f>+Ulaz!V148</f>
        <v>8377</v>
      </c>
      <c r="I148" s="949">
        <f>+Ulaz!Z148</f>
        <v>6016</v>
      </c>
      <c r="J148" s="933"/>
      <c r="K148" s="933"/>
      <c r="L148" s="933"/>
      <c r="M148" s="933"/>
      <c r="N148" s="933"/>
      <c r="O148" s="933"/>
      <c r="P148" s="933"/>
      <c r="Q148" s="933"/>
      <c r="R148" s="933"/>
      <c r="S148" s="933"/>
      <c r="T148" s="933"/>
    </row>
    <row r="149" spans="1:20" ht="12.75">
      <c r="A149" s="961"/>
      <c r="B149" s="944" t="s">
        <v>984</v>
      </c>
      <c r="C149" s="965">
        <f t="shared" si="2"/>
        <v>221</v>
      </c>
      <c r="D149" s="949">
        <f>+Ulaz!F149</f>
        <v>0</v>
      </c>
      <c r="E149" s="949">
        <f>+Ulaz!J149</f>
        <v>0</v>
      </c>
      <c r="F149" s="949">
        <f>+Ulaz!N149</f>
        <v>0</v>
      </c>
      <c r="G149" s="949">
        <f>+Ulaz!R149</f>
        <v>0</v>
      </c>
      <c r="H149" s="949">
        <f>+Ulaz!V149</f>
        <v>0</v>
      </c>
      <c r="I149" s="949">
        <f>+Ulaz!Z149</f>
        <v>0</v>
      </c>
      <c r="J149" s="933"/>
      <c r="K149" s="933"/>
      <c r="L149" s="933"/>
      <c r="M149" s="933"/>
      <c r="N149" s="933"/>
      <c r="O149" s="933"/>
      <c r="P149" s="933"/>
      <c r="Q149" s="933"/>
      <c r="R149" s="933"/>
      <c r="S149" s="933"/>
      <c r="T149" s="933"/>
    </row>
    <row r="150" spans="1:20" ht="12.75">
      <c r="A150" s="961"/>
      <c r="B150" s="944" t="s">
        <v>985</v>
      </c>
      <c r="C150" s="965">
        <f t="shared" si="2"/>
        <v>222</v>
      </c>
      <c r="D150" s="949">
        <f>+Ulaz!F150</f>
        <v>75753</v>
      </c>
      <c r="E150" s="949">
        <f>+Ulaz!J150</f>
        <v>36257</v>
      </c>
      <c r="F150" s="949">
        <f>+Ulaz!N150</f>
        <v>20461</v>
      </c>
      <c r="G150" s="949">
        <f>+Ulaz!R150</f>
        <v>9373</v>
      </c>
      <c r="H150" s="949">
        <f>+Ulaz!V150</f>
        <v>8444</v>
      </c>
      <c r="I150" s="949">
        <f>+Ulaz!Z150</f>
        <v>5624</v>
      </c>
      <c r="J150" s="933"/>
      <c r="K150" s="933"/>
      <c r="L150" s="933"/>
      <c r="M150" s="933"/>
      <c r="N150" s="933"/>
      <c r="O150" s="933"/>
      <c r="P150" s="933"/>
      <c r="Q150" s="933"/>
      <c r="R150" s="933"/>
      <c r="S150" s="933"/>
      <c r="T150" s="933"/>
    </row>
    <row r="151" spans="1:20" ht="12.75">
      <c r="A151" s="961">
        <v>512</v>
      </c>
      <c r="B151" s="944" t="s">
        <v>986</v>
      </c>
      <c r="C151" s="965">
        <f t="shared" si="2"/>
        <v>223</v>
      </c>
      <c r="D151" s="949">
        <f>+Ulaz!F151</f>
        <v>146</v>
      </c>
      <c r="E151" s="949">
        <f>+Ulaz!J151</f>
        <v>129</v>
      </c>
      <c r="F151" s="949">
        <f>+Ulaz!N151</f>
        <v>96</v>
      </c>
      <c r="G151" s="949">
        <f>+Ulaz!R151</f>
        <v>37</v>
      </c>
      <c r="H151" s="949">
        <f>+Ulaz!V151</f>
        <v>40</v>
      </c>
      <c r="I151" s="949">
        <f>+Ulaz!Z151</f>
        <v>23</v>
      </c>
      <c r="J151" s="933"/>
      <c r="K151" s="933"/>
      <c r="L151" s="933"/>
      <c r="M151" s="933"/>
      <c r="N151" s="933"/>
      <c r="O151" s="933"/>
      <c r="P151" s="933"/>
      <c r="Q151" s="933"/>
      <c r="R151" s="933"/>
      <c r="S151" s="933"/>
      <c r="T151" s="933"/>
    </row>
    <row r="152" spans="1:20" ht="12.75">
      <c r="A152" s="961">
        <v>513</v>
      </c>
      <c r="B152" s="944" t="s">
        <v>987</v>
      </c>
      <c r="C152" s="965">
        <f t="shared" si="2"/>
        <v>224</v>
      </c>
      <c r="D152" s="949">
        <f>+Ulaz!F152</f>
        <v>8683</v>
      </c>
      <c r="E152" s="949">
        <f>+Ulaz!J152</f>
        <v>6161</v>
      </c>
      <c r="F152" s="949">
        <f>+Ulaz!N152</f>
        <v>2966</v>
      </c>
      <c r="G152" s="949">
        <f>+Ulaz!R152</f>
        <v>865</v>
      </c>
      <c r="H152" s="949">
        <f>+Ulaz!V152</f>
        <v>1055</v>
      </c>
      <c r="I152" s="949">
        <f>+Ulaz!Z152</f>
        <v>580</v>
      </c>
      <c r="J152" s="933"/>
      <c r="K152" s="933"/>
      <c r="L152" s="933"/>
      <c r="M152" s="933"/>
      <c r="N152" s="933"/>
      <c r="O152" s="933"/>
      <c r="P152" s="933"/>
      <c r="Q152" s="933"/>
      <c r="R152" s="933"/>
      <c r="S152" s="933"/>
      <c r="T152" s="933"/>
    </row>
    <row r="153" spans="1:20" ht="12.75">
      <c r="A153" s="961">
        <v>52</v>
      </c>
      <c r="B153" s="944" t="s">
        <v>988</v>
      </c>
      <c r="C153" s="965">
        <f t="shared" si="2"/>
        <v>225</v>
      </c>
      <c r="D153" s="949">
        <f>+Ulaz!F153</f>
        <v>23963</v>
      </c>
      <c r="E153" s="949">
        <f>+Ulaz!J153</f>
        <v>10256</v>
      </c>
      <c r="F153" s="949">
        <f>+Ulaz!N153</f>
        <v>5134</v>
      </c>
      <c r="G153" s="949">
        <f>+Ulaz!R153</f>
        <v>3111</v>
      </c>
      <c r="H153" s="949">
        <f>+Ulaz!V153</f>
        <v>2826</v>
      </c>
      <c r="I153" s="949">
        <f>+Ulaz!Z153</f>
        <v>2020</v>
      </c>
      <c r="J153" s="933"/>
      <c r="K153" s="933"/>
      <c r="L153" s="933"/>
      <c r="M153" s="933"/>
      <c r="N153" s="933"/>
      <c r="O153" s="933"/>
      <c r="P153" s="933"/>
      <c r="Q153" s="933"/>
      <c r="R153" s="933"/>
      <c r="S153" s="933"/>
      <c r="T153" s="933"/>
    </row>
    <row r="154" spans="1:20" ht="12.75">
      <c r="A154" s="967">
        <v>520521</v>
      </c>
      <c r="B154" s="944" t="s">
        <v>989</v>
      </c>
      <c r="C154" s="965">
        <f t="shared" si="2"/>
        <v>226</v>
      </c>
      <c r="D154" s="949">
        <f>+Ulaz!F154</f>
        <v>16228</v>
      </c>
      <c r="E154" s="949">
        <f>+Ulaz!J154</f>
        <v>6598</v>
      </c>
      <c r="F154" s="949">
        <f>+Ulaz!N154</f>
        <v>3134</v>
      </c>
      <c r="G154" s="949">
        <f>+Ulaz!R154</f>
        <v>1905</v>
      </c>
      <c r="H154" s="949">
        <f>+Ulaz!V154</f>
        <v>1690</v>
      </c>
      <c r="I154" s="949">
        <f>+Ulaz!Z154</f>
        <v>1171</v>
      </c>
      <c r="J154" s="933"/>
      <c r="K154" s="933"/>
      <c r="L154" s="933"/>
      <c r="M154" s="933"/>
      <c r="N154" s="933"/>
      <c r="O154" s="933"/>
      <c r="P154" s="933"/>
      <c r="Q154" s="933"/>
      <c r="R154" s="933"/>
      <c r="S154" s="933"/>
      <c r="T154" s="933"/>
    </row>
    <row r="155" spans="1:20" ht="12.75">
      <c r="A155" s="961">
        <v>522</v>
      </c>
      <c r="B155" s="944" t="s">
        <v>990</v>
      </c>
      <c r="C155" s="965">
        <f t="shared" si="2"/>
        <v>227</v>
      </c>
      <c r="D155" s="949">
        <f>+Ulaz!F155</f>
        <v>3348</v>
      </c>
      <c r="E155" s="949">
        <f>+Ulaz!J155</f>
        <v>1371</v>
      </c>
      <c r="F155" s="949">
        <f>+Ulaz!N155</f>
        <v>648</v>
      </c>
      <c r="G155" s="949">
        <f>+Ulaz!R155</f>
        <v>377</v>
      </c>
      <c r="H155" s="949">
        <f>+Ulaz!V155</f>
        <v>428</v>
      </c>
      <c r="I155" s="949">
        <f>+Ulaz!Z155</f>
        <v>357</v>
      </c>
      <c r="J155" s="933"/>
      <c r="K155" s="933"/>
      <c r="L155" s="933"/>
      <c r="M155" s="933"/>
      <c r="N155" s="933"/>
      <c r="O155" s="933"/>
      <c r="P155" s="933"/>
      <c r="Q155" s="933"/>
      <c r="R155" s="933"/>
      <c r="S155" s="933"/>
      <c r="T155" s="933"/>
    </row>
    <row r="156" spans="1:20" ht="12.75">
      <c r="A156" s="961">
        <v>523</v>
      </c>
      <c r="B156" s="944" t="s">
        <v>991</v>
      </c>
      <c r="C156" s="965">
        <f t="shared" si="2"/>
        <v>228</v>
      </c>
      <c r="D156" s="949">
        <f>+Ulaz!F156</f>
        <v>3797</v>
      </c>
      <c r="E156" s="949">
        <f>+Ulaz!J156</f>
        <v>1745</v>
      </c>
      <c r="F156" s="949">
        <f>+Ulaz!N156</f>
        <v>1156</v>
      </c>
      <c r="G156" s="949">
        <f>+Ulaz!R156</f>
        <v>691</v>
      </c>
      <c r="H156" s="949">
        <f>+Ulaz!V156</f>
        <v>632</v>
      </c>
      <c r="I156" s="949">
        <f>+Ulaz!Z156</f>
        <v>433</v>
      </c>
      <c r="J156" s="933"/>
      <c r="K156" s="933"/>
      <c r="L156" s="933"/>
      <c r="M156" s="933"/>
      <c r="N156" s="933"/>
      <c r="O156" s="933"/>
      <c r="P156" s="933"/>
      <c r="Q156" s="933"/>
      <c r="R156" s="933"/>
      <c r="S156" s="933"/>
      <c r="T156" s="933"/>
    </row>
    <row r="157" spans="1:20" ht="12.75">
      <c r="A157" s="961">
        <v>529</v>
      </c>
      <c r="B157" s="944" t="s">
        <v>992</v>
      </c>
      <c r="C157" s="965">
        <f t="shared" si="2"/>
        <v>229</v>
      </c>
      <c r="D157" s="949">
        <f>+Ulaz!F157</f>
        <v>590</v>
      </c>
      <c r="E157" s="949">
        <f>+Ulaz!J157</f>
        <v>542</v>
      </c>
      <c r="F157" s="949">
        <f>+Ulaz!N157</f>
        <v>196</v>
      </c>
      <c r="G157" s="949">
        <f>+Ulaz!R157</f>
        <v>138</v>
      </c>
      <c r="H157" s="949">
        <f>+Ulaz!V157</f>
        <v>76</v>
      </c>
      <c r="I157" s="949">
        <f>+Ulaz!Z157</f>
        <v>59</v>
      </c>
      <c r="J157" s="933"/>
      <c r="K157" s="933"/>
      <c r="L157" s="933"/>
      <c r="M157" s="933"/>
      <c r="N157" s="933"/>
      <c r="O157" s="933"/>
      <c r="P157" s="933"/>
      <c r="Q157" s="933"/>
      <c r="R157" s="933"/>
      <c r="S157" s="933"/>
      <c r="T157" s="933"/>
    </row>
    <row r="158" spans="1:20" ht="12.75">
      <c r="A158" s="961">
        <v>53</v>
      </c>
      <c r="B158" s="944" t="s">
        <v>993</v>
      </c>
      <c r="C158" s="965">
        <f t="shared" si="2"/>
        <v>230</v>
      </c>
      <c r="D158" s="949">
        <f>+Ulaz!F158</f>
        <v>19931</v>
      </c>
      <c r="E158" s="949">
        <f>+Ulaz!J158</f>
        <v>6846</v>
      </c>
      <c r="F158" s="949">
        <f>+Ulaz!N158</f>
        <v>4263</v>
      </c>
      <c r="G158" s="949">
        <f>+Ulaz!R158</f>
        <v>1090</v>
      </c>
      <c r="H158" s="949">
        <f>+Ulaz!V158</f>
        <v>898</v>
      </c>
      <c r="I158" s="949">
        <f>+Ulaz!Z158</f>
        <v>546</v>
      </c>
      <c r="J158" s="933"/>
      <c r="K158" s="933"/>
      <c r="L158" s="933"/>
      <c r="M158" s="933"/>
      <c r="N158" s="933"/>
      <c r="O158" s="933"/>
      <c r="P158" s="933"/>
      <c r="Q158" s="933"/>
      <c r="R158" s="933"/>
      <c r="S158" s="933"/>
      <c r="T158" s="933"/>
    </row>
    <row r="159" spans="1:20" ht="12.75">
      <c r="A159" s="961">
        <v>540</v>
      </c>
      <c r="B159" s="944" t="s">
        <v>994</v>
      </c>
      <c r="C159" s="965">
        <f t="shared" si="2"/>
        <v>231</v>
      </c>
      <c r="D159" s="949">
        <f>+Ulaz!F159</f>
        <v>8293</v>
      </c>
      <c r="E159" s="949">
        <f>+Ulaz!J159</f>
        <v>6388</v>
      </c>
      <c r="F159" s="949">
        <f>+Ulaz!N159</f>
        <v>2370</v>
      </c>
      <c r="G159" s="949">
        <f>+Ulaz!R159</f>
        <v>1544</v>
      </c>
      <c r="H159" s="949">
        <f>+Ulaz!V159</f>
        <v>1123</v>
      </c>
      <c r="I159" s="949">
        <f>+Ulaz!Z159</f>
        <v>1029</v>
      </c>
      <c r="J159" s="933"/>
      <c r="K159" s="933"/>
      <c r="L159" s="933"/>
      <c r="M159" s="933"/>
      <c r="N159" s="933"/>
      <c r="O159" s="933"/>
      <c r="P159" s="933"/>
      <c r="Q159" s="933"/>
      <c r="R159" s="933"/>
      <c r="S159" s="933"/>
      <c r="T159" s="933"/>
    </row>
    <row r="160" spans="1:20" ht="12.75">
      <c r="A160" s="961">
        <v>541</v>
      </c>
      <c r="B160" s="944" t="s">
        <v>995</v>
      </c>
      <c r="C160" s="965">
        <f t="shared" si="2"/>
        <v>232</v>
      </c>
      <c r="D160" s="949">
        <f>+Ulaz!F160</f>
        <v>0</v>
      </c>
      <c r="E160" s="949">
        <f>+Ulaz!J160</f>
        <v>0</v>
      </c>
      <c r="F160" s="949">
        <f>+Ulaz!N160</f>
        <v>0</v>
      </c>
      <c r="G160" s="949">
        <f>+Ulaz!R160</f>
        <v>0</v>
      </c>
      <c r="H160" s="949">
        <f>+Ulaz!V160</f>
        <v>0</v>
      </c>
      <c r="I160" s="949">
        <f>+Ulaz!Z160</f>
        <v>0</v>
      </c>
      <c r="J160" s="933"/>
      <c r="K160" s="933"/>
      <c r="L160" s="933"/>
      <c r="M160" s="933"/>
      <c r="N160" s="933"/>
      <c r="O160" s="933"/>
      <c r="P160" s="933"/>
      <c r="Q160" s="933"/>
      <c r="R160" s="933"/>
      <c r="S160" s="933"/>
      <c r="T160" s="933"/>
    </row>
    <row r="161" spans="1:20" ht="12.75">
      <c r="A161" s="961" t="s">
        <v>996</v>
      </c>
      <c r="B161" s="944" t="s">
        <v>622</v>
      </c>
      <c r="C161" s="965">
        <f t="shared" si="2"/>
        <v>233</v>
      </c>
      <c r="D161" s="949">
        <f>+Ulaz!F161</f>
        <v>9765</v>
      </c>
      <c r="E161" s="949">
        <f>+Ulaz!J161</f>
        <v>4157</v>
      </c>
      <c r="F161" s="949">
        <f>+Ulaz!N161</f>
        <v>4140</v>
      </c>
      <c r="G161" s="949">
        <f>+Ulaz!R161</f>
        <v>1799</v>
      </c>
      <c r="H161" s="949">
        <f>+Ulaz!V161</f>
        <v>1622</v>
      </c>
      <c r="I161" s="949">
        <f>+Ulaz!Z161</f>
        <v>808</v>
      </c>
      <c r="J161" s="933"/>
      <c r="K161" s="933"/>
      <c r="L161" s="933"/>
      <c r="M161" s="933"/>
      <c r="N161" s="933"/>
      <c r="O161" s="933"/>
      <c r="P161" s="933"/>
      <c r="Q161" s="933"/>
      <c r="R161" s="933"/>
      <c r="S161" s="933"/>
      <c r="T161" s="933"/>
    </row>
    <row r="162" spans="1:20" ht="12.75">
      <c r="A162" s="961">
        <v>556</v>
      </c>
      <c r="B162" s="944" t="s">
        <v>997</v>
      </c>
      <c r="C162" s="965">
        <f t="shared" si="2"/>
        <v>234</v>
      </c>
      <c r="D162" s="949">
        <f>+Ulaz!F162</f>
        <v>1032</v>
      </c>
      <c r="E162" s="949">
        <f>+Ulaz!J162</f>
        <v>359</v>
      </c>
      <c r="F162" s="949">
        <f>+Ulaz!N162</f>
        <v>80</v>
      </c>
      <c r="G162" s="949">
        <f>+Ulaz!R162</f>
        <v>51</v>
      </c>
      <c r="H162" s="949">
        <f>+Ulaz!V162</f>
        <v>67</v>
      </c>
      <c r="I162" s="949">
        <f>+Ulaz!Z162</f>
        <v>57</v>
      </c>
      <c r="J162" s="933"/>
      <c r="K162" s="933"/>
      <c r="L162" s="933"/>
      <c r="M162" s="933"/>
      <c r="N162" s="933"/>
      <c r="O162" s="933"/>
      <c r="P162" s="933"/>
      <c r="Q162" s="933"/>
      <c r="R162" s="933"/>
      <c r="S162" s="933"/>
      <c r="T162" s="933"/>
    </row>
    <row r="163" spans="1:20" ht="12.75">
      <c r="A163" s="961">
        <v>557</v>
      </c>
      <c r="B163" s="944" t="s">
        <v>998</v>
      </c>
      <c r="C163" s="965">
        <f t="shared" si="2"/>
        <v>235</v>
      </c>
      <c r="D163" s="949">
        <f>+Ulaz!F163</f>
        <v>3940</v>
      </c>
      <c r="E163" s="949">
        <f>+Ulaz!J163</f>
        <v>1961</v>
      </c>
      <c r="F163" s="949">
        <f>+Ulaz!N163</f>
        <v>1412</v>
      </c>
      <c r="G163" s="949">
        <f>+Ulaz!R163</f>
        <v>876</v>
      </c>
      <c r="H163" s="949">
        <f>+Ulaz!V163</f>
        <v>813</v>
      </c>
      <c r="I163" s="949">
        <f>+Ulaz!Z163</f>
        <v>561</v>
      </c>
      <c r="J163" s="933"/>
      <c r="K163" s="933"/>
      <c r="L163" s="933"/>
      <c r="M163" s="933"/>
      <c r="N163" s="933"/>
      <c r="O163" s="933"/>
      <c r="P163" s="933"/>
      <c r="Q163" s="933"/>
      <c r="R163" s="933"/>
      <c r="S163" s="933"/>
      <c r="T163" s="933"/>
    </row>
    <row r="164" spans="1:20" ht="12.75">
      <c r="A164" s="961"/>
      <c r="B164" s="944" t="s">
        <v>999</v>
      </c>
      <c r="C164" s="965">
        <f t="shared" si="2"/>
        <v>236</v>
      </c>
      <c r="D164" s="949">
        <f>+Ulaz!F164</f>
        <v>2609</v>
      </c>
      <c r="E164" s="949">
        <f>+Ulaz!J164</f>
        <v>0</v>
      </c>
      <c r="F164" s="949">
        <f>+Ulaz!N164</f>
        <v>263</v>
      </c>
      <c r="G164" s="949">
        <f>+Ulaz!R164</f>
        <v>0</v>
      </c>
      <c r="H164" s="949">
        <f>+Ulaz!V164</f>
        <v>0</v>
      </c>
      <c r="I164" s="949">
        <f>+Ulaz!Z164</f>
        <v>392</v>
      </c>
      <c r="J164" s="933"/>
      <c r="K164" s="933"/>
      <c r="L164" s="933"/>
      <c r="M164" s="933"/>
      <c r="N164" s="933"/>
      <c r="O164" s="933"/>
      <c r="P164" s="933"/>
      <c r="Q164" s="933"/>
      <c r="R164" s="933"/>
      <c r="S164" s="933"/>
      <c r="T164" s="933"/>
    </row>
    <row r="165" spans="1:20" ht="12.75">
      <c r="A165" s="961"/>
      <c r="B165" s="944" t="s">
        <v>1000</v>
      </c>
      <c r="C165" s="965">
        <f t="shared" si="2"/>
        <v>237</v>
      </c>
      <c r="D165" s="949">
        <f>+Ulaz!F165</f>
        <v>0</v>
      </c>
      <c r="E165" s="949">
        <f>+Ulaz!J165</f>
        <v>3605</v>
      </c>
      <c r="F165" s="949">
        <f>+Ulaz!N165</f>
        <v>0</v>
      </c>
      <c r="G165" s="949">
        <f>+Ulaz!R165</f>
        <v>969</v>
      </c>
      <c r="H165" s="949">
        <f>+Ulaz!V165</f>
        <v>67</v>
      </c>
      <c r="I165" s="949">
        <f>+Ulaz!Z165</f>
        <v>0</v>
      </c>
      <c r="J165" s="933"/>
      <c r="K165" s="933"/>
      <c r="L165" s="933"/>
      <c r="M165" s="933"/>
      <c r="N165" s="933"/>
      <c r="O165" s="933"/>
      <c r="P165" s="933"/>
      <c r="Q165" s="933"/>
      <c r="R165" s="933"/>
      <c r="S165" s="933"/>
      <c r="T165" s="933"/>
    </row>
    <row r="166" spans="1:20" ht="22.5" customHeight="1">
      <c r="A166" s="961"/>
      <c r="B166" s="968" t="s">
        <v>623</v>
      </c>
      <c r="C166" s="965">
        <f t="shared" si="2"/>
        <v>238</v>
      </c>
      <c r="D166" s="949">
        <f>+Ulaz!F166</f>
        <v>175</v>
      </c>
      <c r="E166" s="949">
        <f>+Ulaz!J166</f>
        <v>1088</v>
      </c>
      <c r="F166" s="949">
        <f>+Ulaz!N166</f>
        <v>15</v>
      </c>
      <c r="G166" s="949">
        <f>+Ulaz!R166</f>
        <v>42</v>
      </c>
      <c r="H166" s="949">
        <f>+Ulaz!V166</f>
        <v>24</v>
      </c>
      <c r="I166" s="949">
        <f>+Ulaz!Z166</f>
        <v>3</v>
      </c>
      <c r="J166" s="933"/>
      <c r="K166" s="933"/>
      <c r="L166" s="933"/>
      <c r="M166" s="933"/>
      <c r="N166" s="933"/>
      <c r="O166" s="933"/>
      <c r="P166" s="933"/>
      <c r="Q166" s="933"/>
      <c r="R166" s="933"/>
      <c r="S166" s="933"/>
      <c r="T166" s="933"/>
    </row>
    <row r="167" spans="1:20" ht="12.75">
      <c r="A167" s="961">
        <v>660</v>
      </c>
      <c r="B167" s="944" t="s">
        <v>1001</v>
      </c>
      <c r="C167" s="965">
        <f t="shared" si="2"/>
        <v>239</v>
      </c>
      <c r="D167" s="949">
        <f>+Ulaz!F167</f>
        <v>0</v>
      </c>
      <c r="E167" s="949">
        <f>+Ulaz!J167</f>
        <v>0</v>
      </c>
      <c r="F167" s="949">
        <f>+Ulaz!N167</f>
        <v>0</v>
      </c>
      <c r="G167" s="949">
        <f>+Ulaz!R167</f>
        <v>0</v>
      </c>
      <c r="H167" s="949">
        <f>+Ulaz!V167</f>
        <v>0</v>
      </c>
      <c r="I167" s="949">
        <f>+Ulaz!Z167</f>
        <v>0</v>
      </c>
      <c r="J167" s="933"/>
      <c r="K167" s="933"/>
      <c r="L167" s="933"/>
      <c r="M167" s="933"/>
      <c r="N167" s="933"/>
      <c r="O167" s="933"/>
      <c r="P167" s="933"/>
      <c r="Q167" s="933"/>
      <c r="R167" s="933"/>
      <c r="S167" s="933"/>
      <c r="T167" s="933"/>
    </row>
    <row r="168" spans="1:20" ht="12.75">
      <c r="A168" s="961">
        <v>661</v>
      </c>
      <c r="B168" s="944" t="s">
        <v>1002</v>
      </c>
      <c r="C168" s="965">
        <f t="shared" si="2"/>
        <v>240</v>
      </c>
      <c r="D168" s="949">
        <f>+Ulaz!F168</f>
        <v>172</v>
      </c>
      <c r="E168" s="949">
        <f>+Ulaz!J168</f>
        <v>1088</v>
      </c>
      <c r="F168" s="949">
        <f>+Ulaz!N168</f>
        <v>15</v>
      </c>
      <c r="G168" s="949">
        <f>+Ulaz!R168</f>
        <v>42</v>
      </c>
      <c r="H168" s="949">
        <f>+Ulaz!V168</f>
        <v>24</v>
      </c>
      <c r="I168" s="949">
        <f>+Ulaz!Z168</f>
        <v>3</v>
      </c>
      <c r="J168" s="933"/>
      <c r="K168" s="933"/>
      <c r="L168" s="933"/>
      <c r="M168" s="933"/>
      <c r="N168" s="933"/>
      <c r="O168" s="933"/>
      <c r="P168" s="933"/>
      <c r="Q168" s="933"/>
      <c r="R168" s="933"/>
      <c r="S168" s="933"/>
      <c r="T168" s="933"/>
    </row>
    <row r="169" spans="1:20" ht="12.75">
      <c r="A169" s="961">
        <v>662</v>
      </c>
      <c r="B169" s="944" t="s">
        <v>1003</v>
      </c>
      <c r="C169" s="965">
        <f t="shared" si="2"/>
        <v>241</v>
      </c>
      <c r="D169" s="949">
        <f>+Ulaz!F169</f>
        <v>3</v>
      </c>
      <c r="E169" s="949">
        <f>+Ulaz!J169</f>
        <v>0</v>
      </c>
      <c r="F169" s="949">
        <f>+Ulaz!N169</f>
        <v>0</v>
      </c>
      <c r="G169" s="949">
        <f>+Ulaz!R169</f>
        <v>0</v>
      </c>
      <c r="H169" s="949">
        <f>+Ulaz!V169</f>
        <v>0</v>
      </c>
      <c r="I169" s="949">
        <f>+Ulaz!Z169</f>
        <v>0</v>
      </c>
      <c r="J169" s="933"/>
      <c r="K169" s="933"/>
      <c r="L169" s="933"/>
      <c r="M169" s="933"/>
      <c r="N169" s="933"/>
      <c r="O169" s="933"/>
      <c r="P169" s="933"/>
      <c r="Q169" s="933"/>
      <c r="R169" s="933"/>
      <c r="S169" s="933"/>
      <c r="T169" s="933"/>
    </row>
    <row r="170" spans="1:20" ht="12.75">
      <c r="A170" s="961">
        <v>669</v>
      </c>
      <c r="B170" s="944" t="s">
        <v>1004</v>
      </c>
      <c r="C170" s="965">
        <f t="shared" si="2"/>
        <v>242</v>
      </c>
      <c r="D170" s="949">
        <f>+Ulaz!F170</f>
        <v>0</v>
      </c>
      <c r="E170" s="949">
        <f>+Ulaz!J170</f>
        <v>0</v>
      </c>
      <c r="F170" s="949">
        <f>+Ulaz!N170</f>
        <v>0</v>
      </c>
      <c r="G170" s="949">
        <f>+Ulaz!R170</f>
        <v>0</v>
      </c>
      <c r="H170" s="949">
        <f>+Ulaz!V170</f>
        <v>0</v>
      </c>
      <c r="I170" s="949">
        <f>+Ulaz!Z170</f>
        <v>0</v>
      </c>
      <c r="J170" s="933"/>
      <c r="K170" s="933"/>
      <c r="L170" s="933"/>
      <c r="M170" s="933"/>
      <c r="N170" s="933"/>
      <c r="O170" s="933"/>
      <c r="P170" s="933"/>
      <c r="Q170" s="933"/>
      <c r="R170" s="933"/>
      <c r="S170" s="933"/>
      <c r="T170" s="933"/>
    </row>
    <row r="171" spans="1:20" ht="15">
      <c r="A171" s="961"/>
      <c r="B171" s="968" t="s">
        <v>1005</v>
      </c>
      <c r="C171" s="965">
        <f t="shared" si="2"/>
        <v>243</v>
      </c>
      <c r="D171" s="949">
        <f>+Ulaz!F171</f>
        <v>1005</v>
      </c>
      <c r="E171" s="949">
        <f>+Ulaz!J171</f>
        <v>1664</v>
      </c>
      <c r="F171" s="949">
        <f>+Ulaz!N171</f>
        <v>43</v>
      </c>
      <c r="G171" s="949">
        <f>+Ulaz!R171</f>
        <v>20</v>
      </c>
      <c r="H171" s="949">
        <f>+Ulaz!V171</f>
        <v>96</v>
      </c>
      <c r="I171" s="949">
        <f>+Ulaz!Z171</f>
        <v>66</v>
      </c>
      <c r="J171" s="933"/>
      <c r="K171" s="933"/>
      <c r="L171" s="933"/>
      <c r="M171" s="933"/>
      <c r="N171" s="933"/>
      <c r="O171" s="933"/>
      <c r="P171" s="933"/>
      <c r="Q171" s="933"/>
      <c r="R171" s="933"/>
      <c r="S171" s="933"/>
      <c r="T171" s="933"/>
    </row>
    <row r="172" spans="1:20" ht="12.75">
      <c r="A172" s="961">
        <v>560</v>
      </c>
      <c r="B172" s="944" t="s">
        <v>1006</v>
      </c>
      <c r="C172" s="965">
        <f t="shared" si="2"/>
        <v>244</v>
      </c>
      <c r="D172" s="949">
        <f>+Ulaz!F172</f>
        <v>0</v>
      </c>
      <c r="E172" s="949">
        <f>+Ulaz!J172</f>
        <v>0</v>
      </c>
      <c r="F172" s="949">
        <f>+Ulaz!N172</f>
        <v>0</v>
      </c>
      <c r="G172" s="949">
        <f>+Ulaz!R172</f>
        <v>0</v>
      </c>
      <c r="H172" s="949">
        <f>+Ulaz!V172</f>
        <v>0</v>
      </c>
      <c r="I172" s="949">
        <f>+Ulaz!Z172</f>
        <v>0</v>
      </c>
      <c r="J172" s="933"/>
      <c r="K172" s="933"/>
      <c r="L172" s="933"/>
      <c r="M172" s="933"/>
      <c r="N172" s="933"/>
      <c r="O172" s="933"/>
      <c r="P172" s="933"/>
      <c r="Q172" s="933"/>
      <c r="R172" s="933"/>
      <c r="S172" s="933"/>
      <c r="T172" s="933"/>
    </row>
    <row r="173" spans="1:20" ht="12.75">
      <c r="A173" s="961">
        <v>561</v>
      </c>
      <c r="B173" s="944" t="s">
        <v>1007</v>
      </c>
      <c r="C173" s="965">
        <f t="shared" si="2"/>
        <v>245</v>
      </c>
      <c r="D173" s="949">
        <f>+Ulaz!F173</f>
        <v>853</v>
      </c>
      <c r="E173" s="949">
        <f>+Ulaz!J173</f>
        <v>1664</v>
      </c>
      <c r="F173" s="949">
        <f>+Ulaz!N173</f>
        <v>43</v>
      </c>
      <c r="G173" s="949">
        <f>+Ulaz!R173</f>
        <v>20</v>
      </c>
      <c r="H173" s="949">
        <f>+Ulaz!V173</f>
        <v>96</v>
      </c>
      <c r="I173" s="949">
        <f>+Ulaz!Z173</f>
        <v>66</v>
      </c>
      <c r="J173" s="933"/>
      <c r="K173" s="933"/>
      <c r="L173" s="933"/>
      <c r="M173" s="933"/>
      <c r="N173" s="933"/>
      <c r="O173" s="933"/>
      <c r="P173" s="933"/>
      <c r="Q173" s="933"/>
      <c r="R173" s="933"/>
      <c r="S173" s="933"/>
      <c r="T173" s="933"/>
    </row>
    <row r="174" spans="1:20" ht="12.75">
      <c r="A174" s="961">
        <v>562</v>
      </c>
      <c r="B174" s="944" t="s">
        <v>1008</v>
      </c>
      <c r="C174" s="965">
        <f t="shared" si="2"/>
        <v>246</v>
      </c>
      <c r="D174" s="949">
        <f>+Ulaz!F174</f>
        <v>0</v>
      </c>
      <c r="E174" s="949">
        <f>+Ulaz!J174</f>
        <v>0</v>
      </c>
      <c r="F174" s="949">
        <f>+Ulaz!N174</f>
        <v>0</v>
      </c>
      <c r="G174" s="949">
        <f>+Ulaz!R174</f>
        <v>0</v>
      </c>
      <c r="H174" s="949">
        <f>+Ulaz!V174</f>
        <v>0</v>
      </c>
      <c r="I174" s="949">
        <f>+Ulaz!Z174</f>
        <v>0</v>
      </c>
      <c r="J174" s="933"/>
      <c r="K174" s="933"/>
      <c r="L174" s="933"/>
      <c r="M174" s="933"/>
      <c r="N174" s="933"/>
      <c r="O174" s="933"/>
      <c r="P174" s="933"/>
      <c r="Q174" s="933"/>
      <c r="R174" s="933"/>
      <c r="S174" s="933"/>
      <c r="T174" s="933"/>
    </row>
    <row r="175" spans="1:20" ht="12.75">
      <c r="A175" s="961">
        <v>563</v>
      </c>
      <c r="B175" s="944" t="s">
        <v>1009</v>
      </c>
      <c r="C175" s="965">
        <f t="shared" si="2"/>
        <v>247</v>
      </c>
      <c r="D175" s="949">
        <f>+Ulaz!F175</f>
        <v>0</v>
      </c>
      <c r="E175" s="949">
        <f>+Ulaz!J175</f>
        <v>0</v>
      </c>
      <c r="F175" s="949">
        <f>+Ulaz!N175</f>
        <v>0</v>
      </c>
      <c r="G175" s="949">
        <f>+Ulaz!R175</f>
        <v>0</v>
      </c>
      <c r="H175" s="949">
        <f>+Ulaz!V175</f>
        <v>0</v>
      </c>
      <c r="I175" s="949">
        <f>+Ulaz!Z175</f>
        <v>0</v>
      </c>
      <c r="J175" s="933"/>
      <c r="K175" s="933"/>
      <c r="L175" s="933"/>
      <c r="M175" s="933"/>
      <c r="N175" s="933"/>
      <c r="O175" s="933"/>
      <c r="P175" s="933"/>
      <c r="Q175" s="933"/>
      <c r="R175" s="933"/>
      <c r="S175" s="933"/>
      <c r="T175" s="933"/>
    </row>
    <row r="176" spans="1:20" ht="12.75">
      <c r="A176" s="961">
        <v>569</v>
      </c>
      <c r="B176" s="944" t="s">
        <v>1010</v>
      </c>
      <c r="C176" s="965">
        <f t="shared" si="2"/>
        <v>248</v>
      </c>
      <c r="D176" s="949">
        <f>+Ulaz!F176</f>
        <v>152</v>
      </c>
      <c r="E176" s="949">
        <f>+Ulaz!J176</f>
        <v>0</v>
      </c>
      <c r="F176" s="949">
        <f>+Ulaz!N176</f>
        <v>0</v>
      </c>
      <c r="G176" s="949">
        <f>+Ulaz!R176</f>
        <v>0</v>
      </c>
      <c r="H176" s="949">
        <f>+Ulaz!V176</f>
        <v>0</v>
      </c>
      <c r="I176" s="949">
        <f>+Ulaz!Z176</f>
        <v>0</v>
      </c>
      <c r="J176" s="933"/>
      <c r="K176" s="933"/>
      <c r="L176" s="933"/>
      <c r="M176" s="933"/>
      <c r="N176" s="933"/>
      <c r="O176" s="933"/>
      <c r="P176" s="933"/>
      <c r="Q176" s="933"/>
      <c r="R176" s="933"/>
      <c r="S176" s="933"/>
      <c r="T176" s="933"/>
    </row>
    <row r="177" spans="1:20" ht="15">
      <c r="A177" s="961"/>
      <c r="B177" s="968" t="s">
        <v>1011</v>
      </c>
      <c r="C177" s="965">
        <f t="shared" si="2"/>
        <v>249</v>
      </c>
      <c r="D177" s="949">
        <f>+Ulaz!F177</f>
        <v>0</v>
      </c>
      <c r="E177" s="949">
        <f>+Ulaz!J177</f>
        <v>0</v>
      </c>
      <c r="F177" s="949">
        <f>+Ulaz!N177</f>
        <v>0</v>
      </c>
      <c r="G177" s="949">
        <f>+Ulaz!R177</f>
        <v>22</v>
      </c>
      <c r="H177" s="949">
        <f>+Ulaz!V177</f>
        <v>0</v>
      </c>
      <c r="I177" s="949">
        <f>+Ulaz!Z177</f>
        <v>0</v>
      </c>
      <c r="J177" s="933"/>
      <c r="K177" s="933"/>
      <c r="L177" s="933"/>
      <c r="M177" s="933"/>
      <c r="N177" s="933"/>
      <c r="O177" s="933"/>
      <c r="P177" s="933"/>
      <c r="Q177" s="933"/>
      <c r="R177" s="933"/>
      <c r="S177" s="933"/>
      <c r="T177" s="933"/>
    </row>
    <row r="178" spans="1:20" ht="15">
      <c r="A178" s="961"/>
      <c r="B178" s="968" t="s">
        <v>1012</v>
      </c>
      <c r="C178" s="965">
        <f t="shared" si="2"/>
        <v>250</v>
      </c>
      <c r="D178" s="949">
        <f>+Ulaz!F178</f>
        <v>830</v>
      </c>
      <c r="E178" s="949">
        <f>+Ulaz!J178</f>
        <v>576</v>
      </c>
      <c r="F178" s="949">
        <f>+Ulaz!N178</f>
        <v>28</v>
      </c>
      <c r="G178" s="949">
        <f>+Ulaz!R178</f>
        <v>0</v>
      </c>
      <c r="H178" s="949">
        <f>+Ulaz!V178</f>
        <v>72</v>
      </c>
      <c r="I178" s="949">
        <f>+Ulaz!Z178</f>
        <v>63</v>
      </c>
      <c r="J178" s="933"/>
      <c r="K178" s="933"/>
      <c r="L178" s="933"/>
      <c r="M178" s="933"/>
      <c r="N178" s="933"/>
      <c r="O178" s="933"/>
      <c r="P178" s="933"/>
      <c r="Q178" s="933"/>
      <c r="R178" s="933"/>
      <c r="S178" s="933"/>
      <c r="T178" s="933"/>
    </row>
    <row r="179" spans="1:20" ht="15">
      <c r="A179" s="961"/>
      <c r="B179" s="968" t="s">
        <v>624</v>
      </c>
      <c r="C179" s="965">
        <f t="shared" si="2"/>
        <v>251</v>
      </c>
      <c r="D179" s="949">
        <f>+Ulaz!F179</f>
        <v>190</v>
      </c>
      <c r="E179" s="949">
        <f>+Ulaz!J179</f>
        <v>126</v>
      </c>
      <c r="F179" s="949">
        <f>+Ulaz!N179</f>
        <v>188</v>
      </c>
      <c r="G179" s="949">
        <f>+Ulaz!R179</f>
        <v>15</v>
      </c>
      <c r="H179" s="949">
        <f>+Ulaz!V179</f>
        <v>67</v>
      </c>
      <c r="I179" s="949">
        <f>+Ulaz!Z179</f>
        <v>148</v>
      </c>
      <c r="J179" s="933"/>
      <c r="K179" s="933"/>
      <c r="L179" s="933"/>
      <c r="M179" s="933"/>
      <c r="N179" s="933"/>
      <c r="O179" s="933"/>
      <c r="P179" s="933"/>
      <c r="Q179" s="933"/>
      <c r="R179" s="933"/>
      <c r="S179" s="933"/>
      <c r="T179" s="933"/>
    </row>
    <row r="180" spans="1:20" ht="12.75">
      <c r="A180" s="961">
        <v>670</v>
      </c>
      <c r="B180" s="944" t="s">
        <v>1013</v>
      </c>
      <c r="C180" s="965">
        <f t="shared" si="2"/>
        <v>252</v>
      </c>
      <c r="D180" s="949">
        <f>+Ulaz!F180</f>
        <v>0</v>
      </c>
      <c r="E180" s="949">
        <f>+Ulaz!J180</f>
        <v>23</v>
      </c>
      <c r="F180" s="949">
        <f>+Ulaz!N180</f>
        <v>0</v>
      </c>
      <c r="G180" s="949">
        <f>+Ulaz!R180</f>
        <v>0</v>
      </c>
      <c r="H180" s="949">
        <f>+Ulaz!V180</f>
        <v>0</v>
      </c>
      <c r="I180" s="949">
        <f>+Ulaz!Z180</f>
        <v>0</v>
      </c>
      <c r="J180" s="933"/>
      <c r="K180" s="933"/>
      <c r="L180" s="933"/>
      <c r="M180" s="933"/>
      <c r="N180" s="933"/>
      <c r="O180" s="933"/>
      <c r="P180" s="933"/>
      <c r="Q180" s="933"/>
      <c r="R180" s="933"/>
      <c r="S180" s="933"/>
      <c r="T180" s="933"/>
    </row>
    <row r="181" spans="1:20" ht="12.75">
      <c r="A181" s="961">
        <v>671</v>
      </c>
      <c r="B181" s="944" t="s">
        <v>1014</v>
      </c>
      <c r="C181" s="965">
        <f t="shared" si="2"/>
        <v>253</v>
      </c>
      <c r="D181" s="949">
        <f>+Ulaz!F181</f>
        <v>0</v>
      </c>
      <c r="E181" s="949">
        <f>+Ulaz!J181</f>
        <v>0</v>
      </c>
      <c r="F181" s="949">
        <f>+Ulaz!N181</f>
        <v>0</v>
      </c>
      <c r="G181" s="949">
        <f>+Ulaz!R181</f>
        <v>0</v>
      </c>
      <c r="H181" s="949">
        <f>+Ulaz!V181</f>
        <v>0</v>
      </c>
      <c r="I181" s="949">
        <f>+Ulaz!Z181</f>
        <v>0</v>
      </c>
      <c r="J181" s="933"/>
      <c r="K181" s="933"/>
      <c r="L181" s="933"/>
      <c r="M181" s="933"/>
      <c r="N181" s="933"/>
      <c r="O181" s="933"/>
      <c r="P181" s="933"/>
      <c r="Q181" s="933"/>
      <c r="R181" s="933"/>
      <c r="S181" s="933"/>
      <c r="T181" s="933"/>
    </row>
    <row r="182" spans="1:20" ht="12.75">
      <c r="A182" s="961">
        <v>672</v>
      </c>
      <c r="B182" s="944" t="s">
        <v>1015</v>
      </c>
      <c r="C182" s="965">
        <f t="shared" si="2"/>
        <v>254</v>
      </c>
      <c r="D182" s="949">
        <f>+Ulaz!F182</f>
        <v>0</v>
      </c>
      <c r="E182" s="949">
        <f>+Ulaz!J182</f>
        <v>0</v>
      </c>
      <c r="F182" s="949">
        <f>+Ulaz!N182</f>
        <v>0</v>
      </c>
      <c r="G182" s="949">
        <f>+Ulaz!R182</f>
        <v>0</v>
      </c>
      <c r="H182" s="949">
        <f>+Ulaz!V182</f>
        <v>0</v>
      </c>
      <c r="I182" s="949">
        <f>+Ulaz!Z182</f>
        <v>0</v>
      </c>
      <c r="J182" s="933"/>
      <c r="K182" s="933"/>
      <c r="L182" s="933"/>
      <c r="M182" s="933"/>
      <c r="N182" s="933"/>
      <c r="O182" s="933"/>
      <c r="P182" s="933"/>
      <c r="Q182" s="933"/>
      <c r="R182" s="933"/>
      <c r="S182" s="933"/>
      <c r="T182" s="933"/>
    </row>
    <row r="183" spans="1:20" ht="12.75">
      <c r="A183" s="961">
        <v>673</v>
      </c>
      <c r="B183" s="944" t="s">
        <v>1016</v>
      </c>
      <c r="C183" s="965">
        <f t="shared" si="2"/>
        <v>255</v>
      </c>
      <c r="D183" s="949">
        <f>+Ulaz!F183</f>
        <v>0</v>
      </c>
      <c r="E183" s="949">
        <f>+Ulaz!J183</f>
        <v>21</v>
      </c>
      <c r="F183" s="949">
        <f>+Ulaz!N183</f>
        <v>11</v>
      </c>
      <c r="G183" s="949">
        <f>+Ulaz!R183</f>
        <v>3</v>
      </c>
      <c r="H183" s="949">
        <f>+Ulaz!V183</f>
        <v>49</v>
      </c>
      <c r="I183" s="949">
        <f>+Ulaz!Z183</f>
        <v>2</v>
      </c>
      <c r="J183" s="933"/>
      <c r="K183" s="933"/>
      <c r="L183" s="933"/>
      <c r="M183" s="933"/>
      <c r="N183" s="933"/>
      <c r="O183" s="933"/>
      <c r="P183" s="933"/>
      <c r="Q183" s="933"/>
      <c r="R183" s="933"/>
      <c r="S183" s="933"/>
      <c r="T183" s="933"/>
    </row>
    <row r="184" spans="1:20" ht="12.75">
      <c r="A184" s="961">
        <v>674</v>
      </c>
      <c r="B184" s="944" t="s">
        <v>1017</v>
      </c>
      <c r="C184" s="965">
        <f t="shared" si="2"/>
        <v>256</v>
      </c>
      <c r="D184" s="949">
        <f>+Ulaz!F184</f>
        <v>0</v>
      </c>
      <c r="E184" s="949">
        <f>+Ulaz!J184</f>
        <v>0</v>
      </c>
      <c r="F184" s="949">
        <f>+Ulaz!N184</f>
        <v>0</v>
      </c>
      <c r="G184" s="949">
        <f>+Ulaz!R184</f>
        <v>0</v>
      </c>
      <c r="H184" s="949">
        <f>+Ulaz!V184</f>
        <v>0</v>
      </c>
      <c r="I184" s="949">
        <f>+Ulaz!Z184</f>
        <v>0</v>
      </c>
      <c r="J184" s="933"/>
      <c r="K184" s="933"/>
      <c r="L184" s="933"/>
      <c r="M184" s="933"/>
      <c r="N184" s="933"/>
      <c r="O184" s="933"/>
      <c r="P184" s="933"/>
      <c r="Q184" s="933"/>
      <c r="R184" s="933"/>
      <c r="S184" s="933"/>
      <c r="T184" s="933"/>
    </row>
    <row r="185" spans="1:20" ht="12.75">
      <c r="A185" s="967">
        <v>675676</v>
      </c>
      <c r="B185" s="944" t="s">
        <v>625</v>
      </c>
      <c r="C185" s="965">
        <f t="shared" si="2"/>
        <v>257</v>
      </c>
      <c r="D185" s="949">
        <f>+Ulaz!F185</f>
        <v>0</v>
      </c>
      <c r="E185" s="949">
        <f>+Ulaz!J185</f>
        <v>0</v>
      </c>
      <c r="F185" s="949">
        <f>+Ulaz!N185</f>
        <v>0</v>
      </c>
      <c r="G185" s="949">
        <f>+Ulaz!R185</f>
        <v>0</v>
      </c>
      <c r="H185" s="949">
        <f>+Ulaz!V185</f>
        <v>0</v>
      </c>
      <c r="I185" s="949">
        <f>+Ulaz!Z185</f>
        <v>0</v>
      </c>
      <c r="J185" s="933"/>
      <c r="K185" s="933"/>
      <c r="L185" s="933"/>
      <c r="M185" s="933"/>
      <c r="N185" s="933"/>
      <c r="O185" s="933"/>
      <c r="P185" s="933"/>
      <c r="Q185" s="933"/>
      <c r="R185" s="933"/>
      <c r="S185" s="933"/>
      <c r="T185" s="933"/>
    </row>
    <row r="186" spans="1:20" ht="12.75">
      <c r="A186" s="961">
        <v>679</v>
      </c>
      <c r="B186" s="944" t="s">
        <v>1018</v>
      </c>
      <c r="C186" s="965">
        <f t="shared" si="2"/>
        <v>258</v>
      </c>
      <c r="D186" s="949">
        <f>+Ulaz!F186</f>
        <v>190</v>
      </c>
      <c r="E186" s="949">
        <f>+Ulaz!J186</f>
        <v>82</v>
      </c>
      <c r="F186" s="949">
        <f>+Ulaz!N186</f>
        <v>177</v>
      </c>
      <c r="G186" s="949">
        <f>+Ulaz!R186</f>
        <v>12</v>
      </c>
      <c r="H186" s="949">
        <f>+Ulaz!V186</f>
        <v>18</v>
      </c>
      <c r="I186" s="949">
        <f>+Ulaz!Z186</f>
        <v>146</v>
      </c>
      <c r="J186" s="933"/>
      <c r="K186" s="933"/>
      <c r="L186" s="933"/>
      <c r="M186" s="933"/>
      <c r="N186" s="933"/>
      <c r="O186" s="933"/>
      <c r="P186" s="933"/>
      <c r="Q186" s="933"/>
      <c r="R186" s="933"/>
      <c r="S186" s="933"/>
      <c r="T186" s="933"/>
    </row>
    <row r="187" spans="1:20" ht="15">
      <c r="A187" s="967">
        <v>570571</v>
      </c>
      <c r="B187" s="968" t="s">
        <v>1019</v>
      </c>
      <c r="C187" s="965">
        <f t="shared" si="2"/>
        <v>259</v>
      </c>
      <c r="D187" s="949">
        <f>+Ulaz!F187</f>
        <v>1277</v>
      </c>
      <c r="E187" s="949">
        <f>+Ulaz!J187</f>
        <v>167</v>
      </c>
      <c r="F187" s="949">
        <f>+Ulaz!N187</f>
        <v>0</v>
      </c>
      <c r="G187" s="949">
        <f>+Ulaz!R187</f>
        <v>16</v>
      </c>
      <c r="H187" s="949">
        <f>+Ulaz!V187</f>
        <v>10</v>
      </c>
      <c r="I187" s="949">
        <f>+Ulaz!Z187</f>
        <v>7</v>
      </c>
      <c r="J187" s="933"/>
      <c r="K187" s="933"/>
      <c r="L187" s="933"/>
      <c r="M187" s="933"/>
      <c r="N187" s="933"/>
      <c r="O187" s="933"/>
      <c r="P187" s="933"/>
      <c r="Q187" s="933"/>
      <c r="R187" s="933"/>
      <c r="S187" s="933"/>
      <c r="T187" s="933"/>
    </row>
    <row r="188" spans="1:20" ht="12.75">
      <c r="A188" s="961" t="s">
        <v>1020</v>
      </c>
      <c r="B188" s="944" t="s">
        <v>626</v>
      </c>
      <c r="C188" s="965">
        <f t="shared" si="2"/>
        <v>260</v>
      </c>
      <c r="D188" s="949">
        <f>+Ulaz!F188</f>
        <v>111</v>
      </c>
      <c r="E188" s="949">
        <f>+Ulaz!J188</f>
        <v>0</v>
      </c>
      <c r="F188" s="949">
        <f>+Ulaz!N188</f>
        <v>0</v>
      </c>
      <c r="G188" s="949">
        <f>+Ulaz!R188</f>
        <v>0</v>
      </c>
      <c r="H188" s="949">
        <f>+Ulaz!V188</f>
        <v>0</v>
      </c>
      <c r="I188" s="949">
        <f>+Ulaz!Z188</f>
        <v>0</v>
      </c>
      <c r="J188" s="933"/>
      <c r="K188" s="933"/>
      <c r="L188" s="933"/>
      <c r="M188" s="933"/>
      <c r="N188" s="933"/>
      <c r="O188" s="933"/>
      <c r="P188" s="933"/>
      <c r="Q188" s="933"/>
      <c r="R188" s="933"/>
      <c r="S188" s="933"/>
      <c r="T188" s="933"/>
    </row>
    <row r="189" spans="1:20" ht="12.75">
      <c r="A189" s="961">
        <v>572</v>
      </c>
      <c r="B189" s="944" t="s">
        <v>1021</v>
      </c>
      <c r="C189" s="965">
        <f t="shared" si="2"/>
        <v>261</v>
      </c>
      <c r="D189" s="949">
        <f>+Ulaz!F189</f>
        <v>0</v>
      </c>
      <c r="E189" s="949">
        <f>+Ulaz!J189</f>
        <v>0</v>
      </c>
      <c r="F189" s="949">
        <f>+Ulaz!N189</f>
        <v>0</v>
      </c>
      <c r="G189" s="949">
        <f>+Ulaz!R189</f>
        <v>0</v>
      </c>
      <c r="H189" s="949">
        <f>+Ulaz!V189</f>
        <v>0</v>
      </c>
      <c r="I189" s="949">
        <f>+Ulaz!Z189</f>
        <v>0</v>
      </c>
      <c r="J189" s="933"/>
      <c r="K189" s="933"/>
      <c r="L189" s="933"/>
      <c r="M189" s="933"/>
      <c r="N189" s="933"/>
      <c r="O189" s="933"/>
      <c r="P189" s="933"/>
      <c r="Q189" s="933"/>
      <c r="R189" s="933"/>
      <c r="S189" s="933"/>
      <c r="T189" s="933"/>
    </row>
    <row r="190" spans="1:20" ht="12.75">
      <c r="A190" s="961">
        <v>573</v>
      </c>
      <c r="B190" s="944" t="s">
        <v>1022</v>
      </c>
      <c r="C190" s="965">
        <f t="shared" si="2"/>
        <v>262</v>
      </c>
      <c r="D190" s="949">
        <f>+Ulaz!F190</f>
        <v>0</v>
      </c>
      <c r="E190" s="949">
        <f>+Ulaz!J190</f>
        <v>0</v>
      </c>
      <c r="F190" s="949">
        <f>+Ulaz!N190</f>
        <v>0</v>
      </c>
      <c r="G190" s="949">
        <f>+Ulaz!R190</f>
        <v>0</v>
      </c>
      <c r="H190" s="949">
        <f>+Ulaz!V190</f>
        <v>0</v>
      </c>
      <c r="I190" s="949">
        <f>+Ulaz!Z190</f>
        <v>0</v>
      </c>
      <c r="J190" s="933"/>
      <c r="K190" s="933"/>
      <c r="L190" s="933"/>
      <c r="M190" s="933"/>
      <c r="N190" s="933"/>
      <c r="O190" s="933"/>
      <c r="P190" s="933"/>
      <c r="Q190" s="933"/>
      <c r="R190" s="933"/>
      <c r="S190" s="933"/>
      <c r="T190" s="933"/>
    </row>
    <row r="191" spans="1:20" ht="12.75">
      <c r="A191" s="961">
        <v>574</v>
      </c>
      <c r="B191" s="944" t="s">
        <v>1023</v>
      </c>
      <c r="C191" s="965">
        <f t="shared" si="2"/>
        <v>263</v>
      </c>
      <c r="D191" s="949">
        <f>+Ulaz!F191</f>
        <v>204</v>
      </c>
      <c r="E191" s="949">
        <f>+Ulaz!J191</f>
        <v>148</v>
      </c>
      <c r="F191" s="949">
        <f>+Ulaz!N191</f>
        <v>0</v>
      </c>
      <c r="G191" s="949">
        <f>+Ulaz!R191</f>
        <v>0</v>
      </c>
      <c r="H191" s="949">
        <f>+Ulaz!V191</f>
        <v>10</v>
      </c>
      <c r="I191" s="949">
        <f>+Ulaz!Z191</f>
        <v>7</v>
      </c>
      <c r="J191" s="933"/>
      <c r="K191" s="933"/>
      <c r="L191" s="933"/>
      <c r="M191" s="933"/>
      <c r="N191" s="933"/>
      <c r="O191" s="933"/>
      <c r="P191" s="933"/>
      <c r="Q191" s="933"/>
      <c r="R191" s="933"/>
      <c r="S191" s="933"/>
      <c r="T191" s="933"/>
    </row>
    <row r="192" spans="1:20" ht="12.75">
      <c r="A192" s="967">
        <v>575</v>
      </c>
      <c r="B192" s="944" t="s">
        <v>1024</v>
      </c>
      <c r="C192" s="965">
        <f t="shared" si="2"/>
        <v>264</v>
      </c>
      <c r="D192" s="949">
        <f>+Ulaz!F192</f>
        <v>0</v>
      </c>
      <c r="E192" s="949">
        <f>+Ulaz!J192</f>
        <v>0</v>
      </c>
      <c r="F192" s="949">
        <f>+Ulaz!N192</f>
        <v>0</v>
      </c>
      <c r="G192" s="949">
        <f>+Ulaz!R192</f>
        <v>0</v>
      </c>
      <c r="H192" s="949">
        <f>+Ulaz!V192</f>
        <v>0</v>
      </c>
      <c r="I192" s="949">
        <f>+Ulaz!Z192</f>
        <v>0</v>
      </c>
      <c r="J192" s="933"/>
      <c r="K192" s="933"/>
      <c r="L192" s="933"/>
      <c r="M192" s="933"/>
      <c r="N192" s="933"/>
      <c r="O192" s="933"/>
      <c r="P192" s="933"/>
      <c r="Q192" s="933"/>
      <c r="R192" s="933"/>
      <c r="S192" s="933"/>
      <c r="T192" s="933"/>
    </row>
    <row r="193" spans="1:20" ht="12.75">
      <c r="A193" s="967">
        <v>576</v>
      </c>
      <c r="B193" s="944" t="s">
        <v>1025</v>
      </c>
      <c r="C193" s="965">
        <f t="shared" si="2"/>
        <v>265</v>
      </c>
      <c r="D193" s="949">
        <f>+Ulaz!F193</f>
        <v>44</v>
      </c>
      <c r="E193" s="949">
        <f>+Ulaz!J193</f>
        <v>0</v>
      </c>
      <c r="F193" s="949">
        <f>+Ulaz!N193</f>
        <v>0</v>
      </c>
      <c r="G193" s="949">
        <f>+Ulaz!R193</f>
        <v>0</v>
      </c>
      <c r="H193" s="949">
        <f>+Ulaz!V193</f>
        <v>0</v>
      </c>
      <c r="I193" s="949">
        <f>+Ulaz!Z193</f>
        <v>0</v>
      </c>
      <c r="J193" s="933"/>
      <c r="K193" s="933"/>
      <c r="L193" s="933"/>
      <c r="M193" s="933"/>
      <c r="N193" s="933"/>
      <c r="O193" s="933"/>
      <c r="P193" s="933"/>
      <c r="Q193" s="933"/>
      <c r="R193" s="933"/>
      <c r="S193" s="933"/>
      <c r="T193" s="933"/>
    </row>
    <row r="194" spans="1:20" ht="12.75">
      <c r="A194" s="961" t="s">
        <v>1026</v>
      </c>
      <c r="B194" s="944" t="s">
        <v>1027</v>
      </c>
      <c r="C194" s="965">
        <f t="shared" si="2"/>
        <v>266</v>
      </c>
      <c r="D194" s="949">
        <f>+Ulaz!F194</f>
        <v>0</v>
      </c>
      <c r="E194" s="949">
        <f>+Ulaz!J194</f>
        <v>0</v>
      </c>
      <c r="F194" s="949">
        <f>+Ulaz!N194</f>
        <v>0</v>
      </c>
      <c r="G194" s="949">
        <f>+Ulaz!R194</f>
        <v>0</v>
      </c>
      <c r="H194" s="949">
        <f>+Ulaz!V194</f>
        <v>0</v>
      </c>
      <c r="I194" s="949">
        <f>+Ulaz!Z194</f>
        <v>0</v>
      </c>
      <c r="J194" s="933"/>
      <c r="K194" s="933"/>
      <c r="L194" s="933"/>
      <c r="M194" s="933"/>
      <c r="N194" s="933"/>
      <c r="O194" s="933"/>
      <c r="P194" s="933"/>
      <c r="Q194" s="933"/>
      <c r="R194" s="933"/>
      <c r="S194" s="933"/>
      <c r="T194" s="933"/>
    </row>
    <row r="195" spans="1:20" ht="12.75">
      <c r="A195" s="961">
        <v>579</v>
      </c>
      <c r="B195" s="944" t="s">
        <v>1028</v>
      </c>
      <c r="C195" s="965">
        <f aca="true" t="shared" si="3" ref="C195:C217">+C194+1</f>
        <v>267</v>
      </c>
      <c r="D195" s="949">
        <f>+Ulaz!F195</f>
        <v>918</v>
      </c>
      <c r="E195" s="949">
        <f>+Ulaz!J195</f>
        <v>19</v>
      </c>
      <c r="F195" s="949">
        <f>+Ulaz!N195</f>
        <v>0</v>
      </c>
      <c r="G195" s="949">
        <f>+Ulaz!R195</f>
        <v>16</v>
      </c>
      <c r="H195" s="949">
        <f>+Ulaz!V195</f>
        <v>0</v>
      </c>
      <c r="I195" s="949">
        <f>+Ulaz!Z195</f>
        <v>0</v>
      </c>
      <c r="J195" s="933"/>
      <c r="K195" s="933"/>
      <c r="L195" s="933"/>
      <c r="M195" s="933"/>
      <c r="N195" s="933"/>
      <c r="O195" s="933"/>
      <c r="P195" s="933"/>
      <c r="Q195" s="933"/>
      <c r="R195" s="933"/>
      <c r="S195" s="933"/>
      <c r="T195" s="933"/>
    </row>
    <row r="196" spans="1:20" ht="12.75">
      <c r="A196" s="961"/>
      <c r="B196" s="944" t="s">
        <v>1029</v>
      </c>
      <c r="C196" s="965">
        <f t="shared" si="3"/>
        <v>268</v>
      </c>
      <c r="D196" s="949">
        <f>+Ulaz!F196</f>
        <v>0</v>
      </c>
      <c r="E196" s="949">
        <f>+Ulaz!J196</f>
        <v>0</v>
      </c>
      <c r="F196" s="949">
        <f>+Ulaz!N196</f>
        <v>188</v>
      </c>
      <c r="G196" s="949">
        <f>+Ulaz!R196</f>
        <v>0</v>
      </c>
      <c r="H196" s="949">
        <f>+Ulaz!V196</f>
        <v>57</v>
      </c>
      <c r="I196" s="949">
        <f>+Ulaz!Z196</f>
        <v>141</v>
      </c>
      <c r="J196" s="933"/>
      <c r="K196" s="933"/>
      <c r="L196" s="933"/>
      <c r="M196" s="933"/>
      <c r="N196" s="933"/>
      <c r="O196" s="933"/>
      <c r="P196" s="933"/>
      <c r="Q196" s="933"/>
      <c r="R196" s="933"/>
      <c r="S196" s="933"/>
      <c r="T196" s="933"/>
    </row>
    <row r="197" spans="1:20" ht="12.75">
      <c r="A197" s="961"/>
      <c r="B197" s="944" t="s">
        <v>1030</v>
      </c>
      <c r="C197" s="965">
        <f t="shared" si="3"/>
        <v>269</v>
      </c>
      <c r="D197" s="949">
        <f>+Ulaz!F197</f>
        <v>1087</v>
      </c>
      <c r="E197" s="949">
        <f>+Ulaz!J197</f>
        <v>41</v>
      </c>
      <c r="F197" s="949">
        <f>+Ulaz!N197</f>
        <v>0</v>
      </c>
      <c r="G197" s="949">
        <f>+Ulaz!R197</f>
        <v>1</v>
      </c>
      <c r="H197" s="949">
        <f>+Ulaz!V197</f>
        <v>0</v>
      </c>
      <c r="I197" s="949">
        <f>+Ulaz!Z197</f>
        <v>0</v>
      </c>
      <c r="J197" s="933"/>
      <c r="K197" s="933"/>
      <c r="L197" s="933"/>
      <c r="M197" s="933"/>
      <c r="N197" s="933"/>
      <c r="O197" s="933"/>
      <c r="P197" s="933"/>
      <c r="Q197" s="933"/>
      <c r="R197" s="933"/>
      <c r="S197" s="933"/>
      <c r="T197" s="933"/>
    </row>
    <row r="198" spans="1:20" ht="12.75">
      <c r="A198" s="961"/>
      <c r="B198" s="944" t="s">
        <v>627</v>
      </c>
      <c r="C198" s="965">
        <f t="shared" si="3"/>
        <v>270</v>
      </c>
      <c r="D198" s="949">
        <f>+Ulaz!F198</f>
        <v>0</v>
      </c>
      <c r="E198" s="949">
        <f>+Ulaz!J198</f>
        <v>0</v>
      </c>
      <c r="F198" s="949">
        <f>+Ulaz!N198</f>
        <v>16807</v>
      </c>
      <c r="G198" s="949">
        <f>+Ulaz!R198</f>
        <v>5139</v>
      </c>
      <c r="H198" s="949">
        <f>+Ulaz!V198</f>
        <v>3981</v>
      </c>
      <c r="I198" s="949">
        <f>+Ulaz!Z198</f>
        <v>6</v>
      </c>
      <c r="J198" s="933"/>
      <c r="K198" s="933"/>
      <c r="L198" s="933"/>
      <c r="M198" s="933"/>
      <c r="N198" s="933"/>
      <c r="O198" s="933"/>
      <c r="P198" s="933"/>
      <c r="Q198" s="933"/>
      <c r="R198" s="933"/>
      <c r="S198" s="933"/>
      <c r="T198" s="933"/>
    </row>
    <row r="199" spans="1:20" ht="12.75">
      <c r="A199" s="961">
        <v>680</v>
      </c>
      <c r="B199" s="944" t="s">
        <v>1031</v>
      </c>
      <c r="C199" s="965">
        <f t="shared" si="3"/>
        <v>271</v>
      </c>
      <c r="D199" s="949">
        <f>+Ulaz!F199</f>
        <v>0</v>
      </c>
      <c r="E199" s="949">
        <f>+Ulaz!J199</f>
        <v>0</v>
      </c>
      <c r="F199" s="949">
        <f>+Ulaz!N199</f>
        <v>14318</v>
      </c>
      <c r="G199" s="949">
        <f>+Ulaz!R199</f>
        <v>4770</v>
      </c>
      <c r="H199" s="949">
        <f>+Ulaz!V199</f>
        <v>3971</v>
      </c>
      <c r="I199" s="949">
        <f>+Ulaz!Z199</f>
        <v>0</v>
      </c>
      <c r="J199" s="933"/>
      <c r="K199" s="933"/>
      <c r="L199" s="933"/>
      <c r="M199" s="933"/>
      <c r="N199" s="933"/>
      <c r="O199" s="933"/>
      <c r="P199" s="933"/>
      <c r="Q199" s="933"/>
      <c r="R199" s="933"/>
      <c r="S199" s="933"/>
      <c r="T199" s="933"/>
    </row>
    <row r="200" spans="1:20" ht="12.75">
      <c r="A200" s="961">
        <v>681</v>
      </c>
      <c r="B200" s="944" t="s">
        <v>1032</v>
      </c>
      <c r="C200" s="965">
        <f t="shared" si="3"/>
        <v>272</v>
      </c>
      <c r="D200" s="949">
        <f>+Ulaz!F200</f>
        <v>0</v>
      </c>
      <c r="E200" s="949">
        <f>+Ulaz!J200</f>
        <v>0</v>
      </c>
      <c r="F200" s="949">
        <f>+Ulaz!N200</f>
        <v>2489</v>
      </c>
      <c r="G200" s="949">
        <f>+Ulaz!R200</f>
        <v>369</v>
      </c>
      <c r="H200" s="949">
        <f>+Ulaz!V200</f>
        <v>10</v>
      </c>
      <c r="I200" s="949">
        <f>+Ulaz!Z200</f>
        <v>6</v>
      </c>
      <c r="J200" s="933"/>
      <c r="K200" s="933"/>
      <c r="L200" s="933"/>
      <c r="M200" s="933"/>
      <c r="N200" s="933"/>
      <c r="O200" s="933"/>
      <c r="P200" s="933"/>
      <c r="Q200" s="933"/>
      <c r="R200" s="933"/>
      <c r="S200" s="933"/>
      <c r="T200" s="933"/>
    </row>
    <row r="201" spans="1:20" ht="12.75">
      <c r="A201" s="961">
        <v>682</v>
      </c>
      <c r="B201" s="944" t="s">
        <v>1033</v>
      </c>
      <c r="C201" s="965">
        <f t="shared" si="3"/>
        <v>273</v>
      </c>
      <c r="D201" s="949">
        <f>+Ulaz!F201</f>
        <v>0</v>
      </c>
      <c r="E201" s="949">
        <f>+Ulaz!J201</f>
        <v>0</v>
      </c>
      <c r="F201" s="949">
        <f>+Ulaz!N201</f>
        <v>0</v>
      </c>
      <c r="G201" s="949">
        <f>+Ulaz!R201</f>
        <v>0</v>
      </c>
      <c r="H201" s="949">
        <f>+Ulaz!V201</f>
        <v>0</v>
      </c>
      <c r="I201" s="949">
        <f>+Ulaz!Z201</f>
        <v>0</v>
      </c>
      <c r="J201" s="933"/>
      <c r="K201" s="933"/>
      <c r="L201" s="933"/>
      <c r="M201" s="933"/>
      <c r="N201" s="933"/>
      <c r="O201" s="933"/>
      <c r="P201" s="933"/>
      <c r="Q201" s="933"/>
      <c r="R201" s="933"/>
      <c r="S201" s="933"/>
      <c r="T201" s="933"/>
    </row>
    <row r="202" spans="1:20" ht="12.75">
      <c r="A202" s="961"/>
      <c r="B202" s="944" t="s">
        <v>1034</v>
      </c>
      <c r="C202" s="965">
        <f t="shared" si="3"/>
        <v>274</v>
      </c>
      <c r="D202" s="949">
        <f>+Ulaz!F202</f>
        <v>0</v>
      </c>
      <c r="E202" s="949">
        <f>+Ulaz!J202</f>
        <v>0</v>
      </c>
      <c r="F202" s="949">
        <f>+Ulaz!N202</f>
        <v>20399</v>
      </c>
      <c r="G202" s="949">
        <f>+Ulaz!R202</f>
        <v>6921</v>
      </c>
      <c r="H202" s="949">
        <f>+Ulaz!V202</f>
        <v>5659</v>
      </c>
      <c r="I202" s="949">
        <f>+Ulaz!Z202</f>
        <v>0</v>
      </c>
      <c r="J202" s="933"/>
      <c r="K202" s="933"/>
      <c r="L202" s="933"/>
      <c r="M202" s="933"/>
      <c r="N202" s="933"/>
      <c r="O202" s="933"/>
      <c r="P202" s="933"/>
      <c r="Q202" s="933"/>
      <c r="R202" s="933"/>
      <c r="S202" s="933"/>
      <c r="T202" s="933"/>
    </row>
    <row r="203" spans="1:20" ht="12.75">
      <c r="A203" s="961">
        <v>580</v>
      </c>
      <c r="B203" s="944" t="s">
        <v>1035</v>
      </c>
      <c r="C203" s="965">
        <f t="shared" si="3"/>
        <v>275</v>
      </c>
      <c r="D203" s="949">
        <f>+Ulaz!F203</f>
        <v>0</v>
      </c>
      <c r="E203" s="949">
        <f>+Ulaz!J203</f>
        <v>0</v>
      </c>
      <c r="F203" s="949">
        <f>+Ulaz!N203</f>
        <v>20399</v>
      </c>
      <c r="G203" s="949">
        <f>+Ulaz!R203</f>
        <v>6921</v>
      </c>
      <c r="H203" s="949">
        <f>+Ulaz!V203</f>
        <v>5659</v>
      </c>
      <c r="I203" s="949">
        <f>+Ulaz!Z203</f>
        <v>0</v>
      </c>
      <c r="J203" s="933"/>
      <c r="K203" s="933"/>
      <c r="L203" s="933"/>
      <c r="M203" s="933"/>
      <c r="N203" s="933"/>
      <c r="O203" s="933"/>
      <c r="P203" s="933"/>
      <c r="Q203" s="933"/>
      <c r="R203" s="933"/>
      <c r="S203" s="933"/>
      <c r="T203" s="933"/>
    </row>
    <row r="204" spans="1:20" ht="12.75">
      <c r="A204" s="961">
        <v>581</v>
      </c>
      <c r="B204" s="944" t="s">
        <v>1036</v>
      </c>
      <c r="C204" s="965">
        <f t="shared" si="3"/>
        <v>276</v>
      </c>
      <c r="D204" s="949">
        <f>+Ulaz!F204</f>
        <v>0</v>
      </c>
      <c r="E204" s="949">
        <f>+Ulaz!J204</f>
        <v>0</v>
      </c>
      <c r="F204" s="949">
        <f>+Ulaz!N204</f>
        <v>0</v>
      </c>
      <c r="G204" s="949">
        <f>+Ulaz!R204</f>
        <v>0</v>
      </c>
      <c r="H204" s="949">
        <f>+Ulaz!V204</f>
        <v>0</v>
      </c>
      <c r="I204" s="949">
        <f>+Ulaz!Z204</f>
        <v>0</v>
      </c>
      <c r="J204" s="933"/>
      <c r="K204" s="933"/>
      <c r="L204" s="933"/>
      <c r="M204" s="933"/>
      <c r="N204" s="933"/>
      <c r="O204" s="933"/>
      <c r="P204" s="933"/>
      <c r="Q204" s="933"/>
      <c r="R204" s="933"/>
      <c r="S204" s="933"/>
      <c r="T204" s="933"/>
    </row>
    <row r="205" spans="1:20" ht="12.75">
      <c r="A205" s="961">
        <v>582</v>
      </c>
      <c r="B205" s="944" t="s">
        <v>1037</v>
      </c>
      <c r="C205" s="965">
        <f t="shared" si="3"/>
        <v>277</v>
      </c>
      <c r="D205" s="949">
        <f>+Ulaz!F205</f>
        <v>0</v>
      </c>
      <c r="E205" s="949">
        <f>+Ulaz!J205</f>
        <v>0</v>
      </c>
      <c r="F205" s="949">
        <f>+Ulaz!N205</f>
        <v>0</v>
      </c>
      <c r="G205" s="949">
        <f>+Ulaz!R205</f>
        <v>0</v>
      </c>
      <c r="H205" s="949">
        <f>+Ulaz!V205</f>
        <v>0</v>
      </c>
      <c r="I205" s="949">
        <f>+Ulaz!Z205</f>
        <v>0</v>
      </c>
      <c r="J205" s="933"/>
      <c r="K205" s="933"/>
      <c r="L205" s="933"/>
      <c r="M205" s="933"/>
      <c r="N205" s="933"/>
      <c r="O205" s="933"/>
      <c r="P205" s="933"/>
      <c r="Q205" s="933"/>
      <c r="R205" s="933"/>
      <c r="S205" s="933"/>
      <c r="T205" s="933"/>
    </row>
    <row r="206" spans="1:20" ht="12.75">
      <c r="A206" s="961">
        <v>519</v>
      </c>
      <c r="B206" s="944" t="s">
        <v>1038</v>
      </c>
      <c r="C206" s="965">
        <f t="shared" si="3"/>
        <v>278</v>
      </c>
      <c r="D206" s="949">
        <f>+Ulaz!F206</f>
        <v>0</v>
      </c>
      <c r="E206" s="949">
        <f>+Ulaz!J206</f>
        <v>0</v>
      </c>
      <c r="F206" s="949">
        <f>+Ulaz!N206</f>
        <v>0</v>
      </c>
      <c r="G206" s="949">
        <f>+Ulaz!R206</f>
        <v>0</v>
      </c>
      <c r="H206" s="949">
        <f>+Ulaz!V206</f>
        <v>0</v>
      </c>
      <c r="I206" s="949">
        <f>+Ulaz!Z206</f>
        <v>6</v>
      </c>
      <c r="J206" s="933"/>
      <c r="K206" s="933"/>
      <c r="L206" s="933"/>
      <c r="M206" s="933"/>
      <c r="N206" s="933"/>
      <c r="O206" s="933"/>
      <c r="P206" s="933"/>
      <c r="Q206" s="933"/>
      <c r="R206" s="933"/>
      <c r="S206" s="933"/>
      <c r="T206" s="933"/>
    </row>
    <row r="207" spans="1:20" ht="12.75">
      <c r="A207" s="961"/>
      <c r="B207" s="944" t="s">
        <v>1039</v>
      </c>
      <c r="C207" s="965">
        <f t="shared" si="3"/>
        <v>279</v>
      </c>
      <c r="D207" s="949">
        <f>+Ulaz!F207</f>
        <v>0</v>
      </c>
      <c r="E207" s="949">
        <f>+Ulaz!J207</f>
        <v>0</v>
      </c>
      <c r="F207" s="949">
        <f>+Ulaz!N207</f>
        <v>3592</v>
      </c>
      <c r="G207" s="949">
        <f>+Ulaz!R207</f>
        <v>1782</v>
      </c>
      <c r="H207" s="949">
        <f>+Ulaz!V207</f>
        <v>1678</v>
      </c>
      <c r="I207" s="949">
        <f>+Ulaz!Z207</f>
        <v>0</v>
      </c>
      <c r="J207" s="933"/>
      <c r="K207" s="933"/>
      <c r="L207" s="933"/>
      <c r="M207" s="933"/>
      <c r="N207" s="933"/>
      <c r="O207" s="933"/>
      <c r="P207" s="933"/>
      <c r="Q207" s="933"/>
      <c r="R207" s="933"/>
      <c r="S207" s="933"/>
      <c r="T207" s="933"/>
    </row>
    <row r="208" spans="1:20" ht="12.75">
      <c r="A208" s="961"/>
      <c r="B208" s="944" t="s">
        <v>628</v>
      </c>
      <c r="C208" s="965">
        <f t="shared" si="3"/>
        <v>280</v>
      </c>
      <c r="D208" s="949">
        <f>+Ulaz!F208</f>
        <v>2609</v>
      </c>
      <c r="E208" s="949">
        <f>+Ulaz!J208</f>
        <v>0</v>
      </c>
      <c r="F208" s="949">
        <f>+Ulaz!N208</f>
        <v>451</v>
      </c>
      <c r="G208" s="949">
        <f>+Ulaz!R208</f>
        <v>22</v>
      </c>
      <c r="H208" s="949">
        <f>+Ulaz!V208</f>
        <v>57</v>
      </c>
      <c r="I208" s="949">
        <f>+Ulaz!Z208</f>
        <v>539</v>
      </c>
      <c r="J208" s="933"/>
      <c r="K208" s="933"/>
      <c r="L208" s="933"/>
      <c r="M208" s="933"/>
      <c r="N208" s="933"/>
      <c r="O208" s="933"/>
      <c r="P208" s="933"/>
      <c r="Q208" s="933"/>
      <c r="R208" s="933"/>
      <c r="S208" s="933"/>
      <c r="T208" s="933"/>
    </row>
    <row r="209" spans="1:20" ht="12.75">
      <c r="A209" s="961"/>
      <c r="B209" s="944" t="s">
        <v>1040</v>
      </c>
      <c r="C209" s="965">
        <f t="shared" si="3"/>
        <v>281</v>
      </c>
      <c r="D209" s="949">
        <f>+Ulaz!F209</f>
        <v>1917</v>
      </c>
      <c r="E209" s="949">
        <f>+Ulaz!J209</f>
        <v>4222</v>
      </c>
      <c r="F209" s="949">
        <f>+Ulaz!N209</f>
        <v>3620</v>
      </c>
      <c r="G209" s="949">
        <f>+Ulaz!R209</f>
        <v>2752</v>
      </c>
      <c r="H209" s="949">
        <f>+Ulaz!V209</f>
        <v>1817</v>
      </c>
      <c r="I209" s="949">
        <f>+Ulaz!Z209</f>
        <v>63</v>
      </c>
      <c r="J209" s="933"/>
      <c r="K209" s="933"/>
      <c r="L209" s="933"/>
      <c r="M209" s="933"/>
      <c r="N209" s="933"/>
      <c r="O209" s="933"/>
      <c r="P209" s="933"/>
      <c r="Q209" s="933"/>
      <c r="R209" s="933"/>
      <c r="S209" s="933"/>
      <c r="T209" s="933"/>
    </row>
    <row r="210" spans="1:20" ht="12.75">
      <c r="A210" s="961"/>
      <c r="B210" s="944" t="s">
        <v>629</v>
      </c>
      <c r="C210" s="965">
        <f t="shared" si="3"/>
        <v>282</v>
      </c>
      <c r="D210" s="949">
        <f>+Ulaz!F210</f>
        <v>692</v>
      </c>
      <c r="E210" s="949">
        <f>+Ulaz!J210</f>
        <v>0</v>
      </c>
      <c r="F210" s="949">
        <f>+Ulaz!N210</f>
        <v>0</v>
      </c>
      <c r="G210" s="949">
        <f>+Ulaz!R210</f>
        <v>0</v>
      </c>
      <c r="H210" s="949">
        <f>+Ulaz!V210</f>
        <v>0</v>
      </c>
      <c r="I210" s="949">
        <f>+Ulaz!Z210</f>
        <v>476</v>
      </c>
      <c r="J210" s="933"/>
      <c r="K210" s="933"/>
      <c r="L210" s="933"/>
      <c r="M210" s="933"/>
      <c r="N210" s="933"/>
      <c r="O210" s="933"/>
      <c r="P210" s="933"/>
      <c r="Q210" s="933"/>
      <c r="R210" s="933"/>
      <c r="S210" s="933"/>
      <c r="T210" s="933"/>
    </row>
    <row r="211" spans="1:20" ht="12.75">
      <c r="A211" s="961"/>
      <c r="B211" s="944" t="s">
        <v>1041</v>
      </c>
      <c r="C211" s="965">
        <f t="shared" si="3"/>
        <v>283</v>
      </c>
      <c r="D211" s="949">
        <f>+Ulaz!F211</f>
        <v>0</v>
      </c>
      <c r="E211" s="949">
        <f>+Ulaz!J211</f>
        <v>4222</v>
      </c>
      <c r="F211" s="949">
        <f>+Ulaz!N211</f>
        <v>3169</v>
      </c>
      <c r="G211" s="949">
        <f>+Ulaz!R211</f>
        <v>2730</v>
      </c>
      <c r="H211" s="949">
        <f>+Ulaz!V211</f>
        <v>1760</v>
      </c>
      <c r="I211" s="949">
        <f>+Ulaz!Z211</f>
        <v>0</v>
      </c>
      <c r="J211" s="933"/>
      <c r="K211" s="933"/>
      <c r="L211" s="933"/>
      <c r="M211" s="933"/>
      <c r="N211" s="933"/>
      <c r="O211" s="933"/>
      <c r="P211" s="933"/>
      <c r="Q211" s="933"/>
      <c r="R211" s="933"/>
      <c r="S211" s="933"/>
      <c r="T211" s="933"/>
    </row>
    <row r="212" spans="1:20" ht="12.75">
      <c r="A212" s="961">
        <v>721</v>
      </c>
      <c r="B212" s="944" t="s">
        <v>1042</v>
      </c>
      <c r="C212" s="965">
        <f t="shared" si="3"/>
        <v>284</v>
      </c>
      <c r="D212" s="949">
        <f>+Ulaz!F212</f>
        <v>0</v>
      </c>
      <c r="E212" s="949">
        <f>+Ulaz!J212</f>
        <v>0</v>
      </c>
      <c r="F212" s="949">
        <f>+Ulaz!N212</f>
        <v>0</v>
      </c>
      <c r="G212" s="949">
        <f>+Ulaz!R212</f>
        <v>0</v>
      </c>
      <c r="H212" s="949">
        <f>+Ulaz!V212</f>
        <v>0</v>
      </c>
      <c r="I212" s="949">
        <f>+Ulaz!Z212</f>
        <v>0</v>
      </c>
      <c r="J212" s="933"/>
      <c r="K212" s="933"/>
      <c r="L212" s="933"/>
      <c r="M212" s="933"/>
      <c r="N212" s="933"/>
      <c r="O212" s="933"/>
      <c r="P212" s="933"/>
      <c r="Q212" s="933"/>
      <c r="R212" s="933"/>
      <c r="S212" s="933"/>
      <c r="T212" s="933"/>
    </row>
    <row r="213" spans="1:20" ht="12.75">
      <c r="A213" s="961"/>
      <c r="B213" s="944" t="s">
        <v>630</v>
      </c>
      <c r="C213" s="965">
        <f t="shared" si="3"/>
        <v>285</v>
      </c>
      <c r="D213" s="949">
        <f>+Ulaz!F213</f>
        <v>692</v>
      </c>
      <c r="E213" s="949">
        <f>+Ulaz!J213</f>
        <v>0</v>
      </c>
      <c r="F213" s="949">
        <f>+Ulaz!N213</f>
        <v>0</v>
      </c>
      <c r="G213" s="949">
        <f>+Ulaz!R213</f>
        <v>0</v>
      </c>
      <c r="H213" s="949">
        <f>+Ulaz!V213</f>
        <v>0</v>
      </c>
      <c r="I213" s="949">
        <f>+Ulaz!Z213</f>
        <v>476</v>
      </c>
      <c r="J213" s="933"/>
      <c r="K213" s="933"/>
      <c r="L213" s="933"/>
      <c r="M213" s="933"/>
      <c r="N213" s="933"/>
      <c r="O213" s="933"/>
      <c r="P213" s="933"/>
      <c r="Q213" s="933"/>
      <c r="R213" s="933"/>
      <c r="S213" s="933"/>
      <c r="T213" s="933"/>
    </row>
    <row r="214" spans="1:20" ht="12.75">
      <c r="A214" s="961"/>
      <c r="B214" s="944" t="s">
        <v>1043</v>
      </c>
      <c r="C214" s="965">
        <f t="shared" si="3"/>
        <v>286</v>
      </c>
      <c r="D214" s="949">
        <f>+Ulaz!F214</f>
        <v>0</v>
      </c>
      <c r="E214" s="949">
        <f>+Ulaz!J214</f>
        <v>4222</v>
      </c>
      <c r="F214" s="949">
        <f>+Ulaz!N214</f>
        <v>3169</v>
      </c>
      <c r="G214" s="949">
        <f>+Ulaz!R214</f>
        <v>2730</v>
      </c>
      <c r="H214" s="949">
        <f>+Ulaz!V214</f>
        <v>1760</v>
      </c>
      <c r="I214" s="949">
        <f>+Ulaz!Z214</f>
        <v>0</v>
      </c>
      <c r="J214" s="933"/>
      <c r="K214" s="933"/>
      <c r="L214" s="933"/>
      <c r="M214" s="933"/>
      <c r="N214" s="933"/>
      <c r="O214" s="933"/>
      <c r="P214" s="933"/>
      <c r="Q214" s="933"/>
      <c r="R214" s="933"/>
      <c r="S214" s="933"/>
      <c r="T214" s="933"/>
    </row>
    <row r="215" spans="1:20" ht="12.75">
      <c r="A215" s="961"/>
      <c r="B215" s="944" t="s">
        <v>1044</v>
      </c>
      <c r="C215" s="965">
        <f t="shared" si="3"/>
        <v>287</v>
      </c>
      <c r="D215" s="949">
        <f>+Ulaz!F215</f>
        <v>0</v>
      </c>
      <c r="E215" s="949">
        <f>+Ulaz!J215</f>
        <v>0</v>
      </c>
      <c r="F215" s="949">
        <f>+Ulaz!N215</f>
        <v>0</v>
      </c>
      <c r="G215" s="949">
        <f>+Ulaz!R215</f>
        <v>0</v>
      </c>
      <c r="H215" s="949">
        <f>+Ulaz!V215</f>
        <v>0</v>
      </c>
      <c r="I215" s="949">
        <f>+Ulaz!Z215</f>
        <v>0</v>
      </c>
      <c r="J215" s="933"/>
      <c r="K215" s="933"/>
      <c r="L215" s="933"/>
      <c r="M215" s="933"/>
      <c r="N215" s="933"/>
      <c r="O215" s="933"/>
      <c r="P215" s="933"/>
      <c r="Q215" s="933"/>
      <c r="R215" s="933"/>
      <c r="S215" s="933"/>
      <c r="T215" s="933"/>
    </row>
    <row r="216" spans="1:20" ht="12.75">
      <c r="A216" s="961"/>
      <c r="B216" s="944" t="s">
        <v>1045</v>
      </c>
      <c r="C216" s="965">
        <f t="shared" si="3"/>
        <v>288</v>
      </c>
      <c r="D216" s="949">
        <f>+Ulaz!F216</f>
        <v>100916</v>
      </c>
      <c r="E216" s="949">
        <f>+Ulaz!J216</f>
        <v>44319</v>
      </c>
      <c r="F216" s="949">
        <f>+Ulaz!N216</f>
        <v>42172</v>
      </c>
      <c r="G216" s="949">
        <f>+Ulaz!R216</f>
        <v>15130</v>
      </c>
      <c r="H216" s="949">
        <f>+Ulaz!V216</f>
        <v>14323</v>
      </c>
      <c r="I216" s="949">
        <f>+Ulaz!Z216</f>
        <v>7469</v>
      </c>
      <c r="J216" s="933"/>
      <c r="K216" s="933"/>
      <c r="L216" s="933"/>
      <c r="M216" s="933"/>
      <c r="N216" s="933"/>
      <c r="O216" s="933"/>
      <c r="P216" s="933"/>
      <c r="Q216" s="933"/>
      <c r="R216" s="933"/>
      <c r="S216" s="933"/>
      <c r="T216" s="933"/>
    </row>
    <row r="217" spans="1:20" ht="12.75">
      <c r="A217" s="961"/>
      <c r="B217" s="966" t="s">
        <v>1046</v>
      </c>
      <c r="C217" s="965">
        <f t="shared" si="3"/>
        <v>289</v>
      </c>
      <c r="D217" s="949">
        <f>+Ulaz!F217</f>
        <v>100224</v>
      </c>
      <c r="E217" s="949">
        <f>+Ulaz!J217</f>
        <v>48541</v>
      </c>
      <c r="F217" s="949">
        <f>+Ulaz!N217</f>
        <v>45341</v>
      </c>
      <c r="G217" s="949">
        <f>+Ulaz!R217</f>
        <v>17860</v>
      </c>
      <c r="H217" s="949">
        <f>+Ulaz!V217</f>
        <v>16083</v>
      </c>
      <c r="I217" s="949">
        <f>+Ulaz!Z217</f>
        <v>6993</v>
      </c>
      <c r="J217" s="933"/>
      <c r="K217" s="933"/>
      <c r="L217" s="933"/>
      <c r="M217" s="933"/>
      <c r="N217" s="933"/>
      <c r="O217" s="933"/>
      <c r="P217" s="933"/>
      <c r="Q217" s="933"/>
      <c r="R217" s="933"/>
      <c r="S217" s="933"/>
      <c r="T217" s="933"/>
    </row>
    <row r="218" spans="1:20" ht="12.75">
      <c r="A218" s="932"/>
      <c r="B218" s="932"/>
      <c r="C218" s="932"/>
      <c r="D218" s="932"/>
      <c r="E218" s="932"/>
      <c r="F218" s="932"/>
      <c r="G218" s="932"/>
      <c r="H218" s="932"/>
      <c r="I218" s="933"/>
      <c r="J218" s="933"/>
      <c r="K218" s="933"/>
      <c r="L218" s="933"/>
      <c r="M218" s="933"/>
      <c r="N218" s="933"/>
      <c r="O218" s="933"/>
      <c r="P218" s="933"/>
      <c r="Q218" s="933"/>
      <c r="R218" s="933"/>
      <c r="S218" s="933"/>
      <c r="T218" s="933"/>
    </row>
    <row r="219" spans="1:20" ht="12.75">
      <c r="A219" s="932"/>
      <c r="B219" s="932"/>
      <c r="C219" s="932"/>
      <c r="D219" s="932"/>
      <c r="E219" s="932"/>
      <c r="F219" s="932"/>
      <c r="G219" s="932"/>
      <c r="H219" s="932"/>
      <c r="I219" s="933"/>
      <c r="J219" s="933"/>
      <c r="K219" s="933"/>
      <c r="L219" s="933"/>
      <c r="M219" s="933"/>
      <c r="N219" s="933"/>
      <c r="O219" s="933"/>
      <c r="P219" s="933"/>
      <c r="Q219" s="933"/>
      <c r="R219" s="933"/>
      <c r="S219" s="933"/>
      <c r="T219" s="933"/>
    </row>
    <row r="220" spans="1:20" ht="12.75">
      <c r="A220" s="932"/>
      <c r="B220" s="932" t="s">
        <v>802</v>
      </c>
      <c r="C220" s="932"/>
      <c r="D220" s="932"/>
      <c r="E220" s="932"/>
      <c r="F220" s="932"/>
      <c r="G220" s="932"/>
      <c r="H220" s="932"/>
      <c r="I220" s="933"/>
      <c r="J220" s="933"/>
      <c r="K220" s="933"/>
      <c r="L220" s="933"/>
      <c r="M220" s="933"/>
      <c r="N220" s="933"/>
      <c r="O220" s="933"/>
      <c r="P220" s="933"/>
      <c r="Q220" s="933"/>
      <c r="R220" s="933"/>
      <c r="S220" s="933"/>
      <c r="T220" s="933"/>
    </row>
    <row r="221" spans="1:20" ht="12.75">
      <c r="A221" s="932" t="s">
        <v>631</v>
      </c>
      <c r="B221" s="932" t="s">
        <v>632</v>
      </c>
      <c r="C221" s="932"/>
      <c r="D221" s="932"/>
      <c r="E221" s="941"/>
      <c r="F221" s="932"/>
      <c r="G221" s="932"/>
      <c r="H221" s="932"/>
      <c r="I221" s="933"/>
      <c r="J221" s="933"/>
      <c r="K221" s="933"/>
      <c r="L221" s="933"/>
      <c r="M221" s="933"/>
      <c r="N221" s="933"/>
      <c r="O221" s="933"/>
      <c r="P221" s="933"/>
      <c r="Q221" s="933"/>
      <c r="R221" s="933"/>
      <c r="S221" s="933"/>
      <c r="T221" s="933"/>
    </row>
    <row r="222" spans="1:20" ht="12.75">
      <c r="A222" s="932"/>
      <c r="B222" s="932"/>
      <c r="C222" s="932"/>
      <c r="D222" s="932" t="str">
        <f>+B3</f>
        <v>U 000 din</v>
      </c>
      <c r="E222" s="941"/>
      <c r="F222" s="932"/>
      <c r="G222" s="932"/>
      <c r="H222" s="932"/>
      <c r="I222" s="933"/>
      <c r="J222" s="933"/>
      <c r="K222" s="933"/>
      <c r="L222" s="933"/>
      <c r="M222" s="933"/>
      <c r="N222" s="933"/>
      <c r="O222" s="933"/>
      <c r="P222" s="933"/>
      <c r="Q222" s="933"/>
      <c r="R222" s="933"/>
      <c r="S222" s="933"/>
      <c r="T222" s="933"/>
    </row>
    <row r="223" spans="1:20" ht="12.75">
      <c r="A223" s="944" t="s">
        <v>633</v>
      </c>
      <c r="B223" s="944" t="s">
        <v>1441</v>
      </c>
      <c r="C223" s="944"/>
      <c r="D223" s="944"/>
      <c r="E223" s="944"/>
      <c r="F223" s="944"/>
      <c r="G223" s="944"/>
      <c r="H223" s="932"/>
      <c r="I223" s="933"/>
      <c r="J223" s="933"/>
      <c r="K223" s="933"/>
      <c r="L223" s="933"/>
      <c r="M223" s="933"/>
      <c r="N223" s="933"/>
      <c r="O223" s="933"/>
      <c r="P223" s="933"/>
      <c r="Q223" s="933"/>
      <c r="R223" s="933"/>
      <c r="S223" s="933"/>
      <c r="T223" s="933"/>
    </row>
    <row r="224" spans="1:20" ht="12.75">
      <c r="A224" s="944" t="s">
        <v>634</v>
      </c>
      <c r="B224" s="944"/>
      <c r="C224" s="944">
        <f>+$D$6</f>
        <v>2002</v>
      </c>
      <c r="D224" s="944">
        <f>+$E$6</f>
        <v>2001</v>
      </c>
      <c r="E224" s="944">
        <f>+$F$6</f>
        <v>2000</v>
      </c>
      <c r="F224" s="944">
        <f>+$G$6</f>
        <v>1999</v>
      </c>
      <c r="G224" s="944">
        <f>+$H$6</f>
        <v>1998</v>
      </c>
      <c r="H224" s="932"/>
      <c r="I224" s="933"/>
      <c r="J224" s="933"/>
      <c r="K224" s="933"/>
      <c r="L224" s="933"/>
      <c r="M224" s="933"/>
      <c r="N224" s="933"/>
      <c r="O224" s="933"/>
      <c r="P224" s="933"/>
      <c r="Q224" s="933"/>
      <c r="R224" s="933"/>
      <c r="S224" s="933"/>
      <c r="T224" s="933"/>
    </row>
    <row r="225" spans="1:20" ht="12.75">
      <c r="A225" s="944">
        <v>1</v>
      </c>
      <c r="B225" s="944">
        <f aca="true" t="shared" si="4" ref="B225:G225">A225+1</f>
        <v>2</v>
      </c>
      <c r="C225" s="944">
        <f t="shared" si="4"/>
        <v>3</v>
      </c>
      <c r="D225" s="944">
        <f t="shared" si="4"/>
        <v>4</v>
      </c>
      <c r="E225" s="944">
        <f t="shared" si="4"/>
        <v>5</v>
      </c>
      <c r="F225" s="944">
        <f t="shared" si="4"/>
        <v>6</v>
      </c>
      <c r="G225" s="944">
        <f t="shared" si="4"/>
        <v>7</v>
      </c>
      <c r="H225" s="932"/>
      <c r="I225" s="933"/>
      <c r="J225" s="933"/>
      <c r="K225" s="933"/>
      <c r="L225" s="933"/>
      <c r="M225" s="933"/>
      <c r="N225" s="933"/>
      <c r="O225" s="933"/>
      <c r="P225" s="933"/>
      <c r="Q225" s="933"/>
      <c r="R225" s="933"/>
      <c r="S225" s="933"/>
      <c r="T225" s="933"/>
    </row>
    <row r="226" spans="1:20" ht="12.75">
      <c r="A226" s="944">
        <v>1</v>
      </c>
      <c r="B226" s="944" t="s">
        <v>635</v>
      </c>
      <c r="C226" s="949">
        <f>+D129</f>
        <v>100551</v>
      </c>
      <c r="D226" s="949">
        <f>+E129</f>
        <v>43105</v>
      </c>
      <c r="E226" s="949">
        <f>+F129</f>
        <v>25162</v>
      </c>
      <c r="F226" s="949">
        <f>+G129</f>
        <v>9934</v>
      </c>
      <c r="G226" s="949">
        <f>+H129</f>
        <v>10251</v>
      </c>
      <c r="H226" s="932"/>
      <c r="I226" s="933"/>
      <c r="J226" s="933"/>
      <c r="K226" s="933"/>
      <c r="L226" s="933"/>
      <c r="M226" s="933"/>
      <c r="N226" s="933"/>
      <c r="O226" s="933"/>
      <c r="P226" s="933"/>
      <c r="Q226" s="933"/>
      <c r="R226" s="933"/>
      <c r="S226" s="933"/>
      <c r="T226" s="933"/>
    </row>
    <row r="227" spans="1:20" ht="12.75">
      <c r="A227" s="944">
        <f>+A226+1</f>
        <v>2</v>
      </c>
      <c r="B227" s="944" t="s">
        <v>636</v>
      </c>
      <c r="C227" s="949">
        <f>+D166</f>
        <v>175</v>
      </c>
      <c r="D227" s="949">
        <f>+E166</f>
        <v>1088</v>
      </c>
      <c r="E227" s="949">
        <f>+F166</f>
        <v>15</v>
      </c>
      <c r="F227" s="949">
        <f>+G166</f>
        <v>42</v>
      </c>
      <c r="G227" s="949">
        <f>+H166</f>
        <v>24</v>
      </c>
      <c r="H227" s="932"/>
      <c r="I227" s="933"/>
      <c r="J227" s="933"/>
      <c r="K227" s="933"/>
      <c r="L227" s="933"/>
      <c r="M227" s="933"/>
      <c r="N227" s="933"/>
      <c r="O227" s="933"/>
      <c r="P227" s="933"/>
      <c r="Q227" s="933"/>
      <c r="R227" s="933"/>
      <c r="S227" s="933"/>
      <c r="T227" s="933"/>
    </row>
    <row r="228" spans="1:20" ht="12.75">
      <c r="A228" s="944">
        <f aca="true" t="shared" si="5" ref="A228:A240">+A227+1</f>
        <v>3</v>
      </c>
      <c r="B228" s="944" t="s">
        <v>637</v>
      </c>
      <c r="C228" s="949">
        <f>+D179</f>
        <v>190</v>
      </c>
      <c r="D228" s="949">
        <f>+E179</f>
        <v>126</v>
      </c>
      <c r="E228" s="949">
        <f>+F179</f>
        <v>188</v>
      </c>
      <c r="F228" s="949">
        <f>+G179</f>
        <v>15</v>
      </c>
      <c r="G228" s="949">
        <f>+H179</f>
        <v>67</v>
      </c>
      <c r="H228" s="932"/>
      <c r="I228" s="933"/>
      <c r="J228" s="933"/>
      <c r="K228" s="933"/>
      <c r="L228" s="933"/>
      <c r="M228" s="933"/>
      <c r="N228" s="933"/>
      <c r="O228" s="933"/>
      <c r="P228" s="933"/>
      <c r="Q228" s="933"/>
      <c r="R228" s="933"/>
      <c r="S228" s="933"/>
      <c r="T228" s="933"/>
    </row>
    <row r="229" spans="1:20" ht="12.75">
      <c r="A229" s="944">
        <f t="shared" si="5"/>
        <v>4</v>
      </c>
      <c r="B229" s="944" t="s">
        <v>638</v>
      </c>
      <c r="C229" s="949">
        <f>+D198</f>
        <v>0</v>
      </c>
      <c r="D229" s="949">
        <f>+E198</f>
        <v>0</v>
      </c>
      <c r="E229" s="949">
        <f>+F198</f>
        <v>16807</v>
      </c>
      <c r="F229" s="949">
        <f>+G198</f>
        <v>5139</v>
      </c>
      <c r="G229" s="949">
        <f>+H198</f>
        <v>3981</v>
      </c>
      <c r="H229" s="932"/>
      <c r="I229" s="933"/>
      <c r="J229" s="933"/>
      <c r="K229" s="933"/>
      <c r="L229" s="933"/>
      <c r="M229" s="933"/>
      <c r="N229" s="933"/>
      <c r="O229" s="933"/>
      <c r="P229" s="933"/>
      <c r="Q229" s="933"/>
      <c r="R229" s="933"/>
      <c r="S229" s="933"/>
      <c r="T229" s="933"/>
    </row>
    <row r="230" spans="1:20" ht="12.75">
      <c r="A230" s="944">
        <f t="shared" si="5"/>
        <v>5</v>
      </c>
      <c r="B230" s="944" t="s">
        <v>639</v>
      </c>
      <c r="C230" s="949">
        <f>SUM(C226:C229)</f>
        <v>100916</v>
      </c>
      <c r="D230" s="949">
        <f>SUM(D226:D229)</f>
        <v>44319</v>
      </c>
      <c r="E230" s="949">
        <f>SUM(E226:E229)</f>
        <v>42172</v>
      </c>
      <c r="F230" s="949">
        <f>SUM(F226:F229)</f>
        <v>15130</v>
      </c>
      <c r="G230" s="949">
        <f>SUM(G226:G229)</f>
        <v>14323</v>
      </c>
      <c r="H230" s="932"/>
      <c r="I230" s="933"/>
      <c r="J230" s="933"/>
      <c r="K230" s="933"/>
      <c r="L230" s="933"/>
      <c r="M230" s="933"/>
      <c r="N230" s="933"/>
      <c r="O230" s="933"/>
      <c r="P230" s="933"/>
      <c r="Q230" s="933"/>
      <c r="R230" s="933"/>
      <c r="S230" s="933"/>
      <c r="T230" s="933"/>
    </row>
    <row r="231" spans="1:20" ht="12.75">
      <c r="A231" s="944">
        <f t="shared" si="5"/>
        <v>6</v>
      </c>
      <c r="B231" s="944" t="s">
        <v>640</v>
      </c>
      <c r="C231" s="949">
        <f>+D145+D150</f>
        <v>97942</v>
      </c>
      <c r="D231" s="949">
        <f>+E145+E150</f>
        <v>46710</v>
      </c>
      <c r="E231" s="949">
        <f>+F145+F150</f>
        <v>24899</v>
      </c>
      <c r="F231" s="949">
        <f>+G145+G150</f>
        <v>10903</v>
      </c>
      <c r="G231" s="949">
        <f>+H145+H150</f>
        <v>10318</v>
      </c>
      <c r="H231" s="932"/>
      <c r="I231" s="933"/>
      <c r="J231" s="933"/>
      <c r="K231" s="933"/>
      <c r="L231" s="933"/>
      <c r="M231" s="933"/>
      <c r="N231" s="933"/>
      <c r="O231" s="933"/>
      <c r="P231" s="933"/>
      <c r="Q231" s="933"/>
      <c r="R231" s="933"/>
      <c r="S231" s="933"/>
      <c r="T231" s="933"/>
    </row>
    <row r="232" spans="1:20" ht="12.75">
      <c r="A232" s="944">
        <f t="shared" si="5"/>
        <v>7</v>
      </c>
      <c r="B232" s="944" t="s">
        <v>641</v>
      </c>
      <c r="C232" s="949">
        <f>+D171</f>
        <v>1005</v>
      </c>
      <c r="D232" s="949">
        <f>+E171</f>
        <v>1664</v>
      </c>
      <c r="E232" s="949">
        <f>+F171</f>
        <v>43</v>
      </c>
      <c r="F232" s="949">
        <f>+G171</f>
        <v>20</v>
      </c>
      <c r="G232" s="949">
        <f>+H171</f>
        <v>96</v>
      </c>
      <c r="H232" s="932"/>
      <c r="I232" s="933"/>
      <c r="J232" s="933"/>
      <c r="K232" s="933"/>
      <c r="L232" s="933"/>
      <c r="M232" s="933"/>
      <c r="N232" s="933"/>
      <c r="O232" s="933"/>
      <c r="P232" s="933"/>
      <c r="Q232" s="933"/>
      <c r="R232" s="933"/>
      <c r="S232" s="933"/>
      <c r="T232" s="933"/>
    </row>
    <row r="233" spans="1:20" ht="12.75">
      <c r="A233" s="944">
        <f t="shared" si="5"/>
        <v>8</v>
      </c>
      <c r="B233" s="944" t="s">
        <v>642</v>
      </c>
      <c r="C233" s="949">
        <f>+D187</f>
        <v>1277</v>
      </c>
      <c r="D233" s="949">
        <f>+E187</f>
        <v>167</v>
      </c>
      <c r="E233" s="949">
        <f>+F187</f>
        <v>0</v>
      </c>
      <c r="F233" s="949">
        <f>+G187</f>
        <v>16</v>
      </c>
      <c r="G233" s="949">
        <f>+H187</f>
        <v>10</v>
      </c>
      <c r="H233" s="932"/>
      <c r="I233" s="933"/>
      <c r="J233" s="933"/>
      <c r="K233" s="933"/>
      <c r="L233" s="933"/>
      <c r="M233" s="933"/>
      <c r="N233" s="933"/>
      <c r="O233" s="933"/>
      <c r="P233" s="933"/>
      <c r="Q233" s="933"/>
      <c r="R233" s="933"/>
      <c r="S233" s="933"/>
      <c r="T233" s="933"/>
    </row>
    <row r="234" spans="1:20" ht="12.75">
      <c r="A234" s="944">
        <f t="shared" si="5"/>
        <v>9</v>
      </c>
      <c r="B234" s="944" t="s">
        <v>643</v>
      </c>
      <c r="C234" s="949">
        <f>+D202</f>
        <v>0</v>
      </c>
      <c r="D234" s="949">
        <f>+E202</f>
        <v>0</v>
      </c>
      <c r="E234" s="949">
        <f>+F202</f>
        <v>20399</v>
      </c>
      <c r="F234" s="949">
        <f>+G202</f>
        <v>6921</v>
      </c>
      <c r="G234" s="949">
        <f>+H202</f>
        <v>5659</v>
      </c>
      <c r="H234" s="932"/>
      <c r="I234" s="933"/>
      <c r="J234" s="933"/>
      <c r="K234" s="933"/>
      <c r="L234" s="933"/>
      <c r="M234" s="933"/>
      <c r="N234" s="933"/>
      <c r="O234" s="933"/>
      <c r="P234" s="933"/>
      <c r="Q234" s="933"/>
      <c r="R234" s="933"/>
      <c r="S234" s="933"/>
      <c r="T234" s="933"/>
    </row>
    <row r="235" spans="1:20" ht="12.75">
      <c r="A235" s="944">
        <f t="shared" si="5"/>
        <v>10</v>
      </c>
      <c r="B235" s="944" t="s">
        <v>644</v>
      </c>
      <c r="C235" s="949">
        <f>SUM(C231:C234)</f>
        <v>100224</v>
      </c>
      <c r="D235" s="949">
        <f>SUM(D231:D234)</f>
        <v>48541</v>
      </c>
      <c r="E235" s="949">
        <f>SUM(E231:E234)</f>
        <v>45341</v>
      </c>
      <c r="F235" s="949">
        <f>SUM(F231:F234)</f>
        <v>17860</v>
      </c>
      <c r="G235" s="949">
        <f>SUM(G231:G234)</f>
        <v>16083</v>
      </c>
      <c r="H235" s="932"/>
      <c r="I235" s="933"/>
      <c r="J235" s="933"/>
      <c r="K235" s="933"/>
      <c r="L235" s="933"/>
      <c r="M235" s="933"/>
      <c r="N235" s="933"/>
      <c r="O235" s="933"/>
      <c r="P235" s="933"/>
      <c r="Q235" s="933"/>
      <c r="R235" s="933"/>
      <c r="S235" s="933"/>
      <c r="T235" s="933"/>
    </row>
    <row r="236" spans="1:20" ht="12.75">
      <c r="A236" s="944">
        <f t="shared" si="5"/>
        <v>11</v>
      </c>
      <c r="B236" s="944" t="s">
        <v>645</v>
      </c>
      <c r="C236" s="949">
        <f>+C226-C231</f>
        <v>2609</v>
      </c>
      <c r="D236" s="949">
        <f>+D226-D231</f>
        <v>-3605</v>
      </c>
      <c r="E236" s="949">
        <f>+E226-E231</f>
        <v>263</v>
      </c>
      <c r="F236" s="949">
        <f>+F226-F231</f>
        <v>-969</v>
      </c>
      <c r="G236" s="949">
        <f>+G226-G231</f>
        <v>-67</v>
      </c>
      <c r="H236" s="932"/>
      <c r="I236" s="933"/>
      <c r="J236" s="933"/>
      <c r="K236" s="933"/>
      <c r="L236" s="933"/>
      <c r="M236" s="933"/>
      <c r="N236" s="933"/>
      <c r="O236" s="933"/>
      <c r="P236" s="933"/>
      <c r="Q236" s="933"/>
      <c r="R236" s="933"/>
      <c r="S236" s="933"/>
      <c r="T236" s="933"/>
    </row>
    <row r="237" spans="1:20" ht="12.75">
      <c r="A237" s="944">
        <f t="shared" si="5"/>
        <v>12</v>
      </c>
      <c r="B237" s="944" t="s">
        <v>646</v>
      </c>
      <c r="C237" s="949">
        <f aca="true" t="shared" si="6" ref="C237:G239">+C227-C232</f>
        <v>-830</v>
      </c>
      <c r="D237" s="949">
        <f t="shared" si="6"/>
        <v>-576</v>
      </c>
      <c r="E237" s="949">
        <f t="shared" si="6"/>
        <v>-28</v>
      </c>
      <c r="F237" s="949">
        <f t="shared" si="6"/>
        <v>22</v>
      </c>
      <c r="G237" s="949">
        <f t="shared" si="6"/>
        <v>-72</v>
      </c>
      <c r="H237" s="932"/>
      <c r="I237" s="933"/>
      <c r="J237" s="933"/>
      <c r="K237" s="933"/>
      <c r="L237" s="933"/>
      <c r="M237" s="933"/>
      <c r="N237" s="933"/>
      <c r="O237" s="933"/>
      <c r="P237" s="933"/>
      <c r="Q237" s="933"/>
      <c r="R237" s="933"/>
      <c r="S237" s="933"/>
      <c r="T237" s="933"/>
    </row>
    <row r="238" spans="1:20" ht="12.75">
      <c r="A238" s="944">
        <f t="shared" si="5"/>
        <v>13</v>
      </c>
      <c r="B238" s="944" t="s">
        <v>647</v>
      </c>
      <c r="C238" s="949">
        <f t="shared" si="6"/>
        <v>-1087</v>
      </c>
      <c r="D238" s="949">
        <f t="shared" si="6"/>
        <v>-41</v>
      </c>
      <c r="E238" s="949">
        <f t="shared" si="6"/>
        <v>188</v>
      </c>
      <c r="F238" s="949">
        <f t="shared" si="6"/>
        <v>-1</v>
      </c>
      <c r="G238" s="949">
        <f t="shared" si="6"/>
        <v>57</v>
      </c>
      <c r="H238" s="932"/>
      <c r="I238" s="933"/>
      <c r="J238" s="933"/>
      <c r="K238" s="933"/>
      <c r="L238" s="933"/>
      <c r="M238" s="933"/>
      <c r="N238" s="933"/>
      <c r="O238" s="933"/>
      <c r="P238" s="933"/>
      <c r="Q238" s="933"/>
      <c r="R238" s="933"/>
      <c r="S238" s="933"/>
      <c r="T238" s="933"/>
    </row>
    <row r="239" spans="1:20" ht="12.75">
      <c r="A239" s="944">
        <f t="shared" si="5"/>
        <v>14</v>
      </c>
      <c r="B239" s="944" t="s">
        <v>648</v>
      </c>
      <c r="C239" s="949">
        <f t="shared" si="6"/>
        <v>0</v>
      </c>
      <c r="D239" s="949">
        <f t="shared" si="6"/>
        <v>0</v>
      </c>
      <c r="E239" s="949">
        <f t="shared" si="6"/>
        <v>-3592</v>
      </c>
      <c r="F239" s="949">
        <f t="shared" si="6"/>
        <v>-1782</v>
      </c>
      <c r="G239" s="949">
        <f t="shared" si="6"/>
        <v>-1678</v>
      </c>
      <c r="H239" s="932"/>
      <c r="I239" s="933"/>
      <c r="J239" s="933"/>
      <c r="K239" s="933"/>
      <c r="L239" s="933"/>
      <c r="M239" s="933"/>
      <c r="N239" s="933"/>
      <c r="O239" s="933"/>
      <c r="P239" s="933"/>
      <c r="Q239" s="933"/>
      <c r="R239" s="933"/>
      <c r="S239" s="933"/>
      <c r="T239" s="933"/>
    </row>
    <row r="240" spans="1:20" ht="12.75">
      <c r="A240" s="944">
        <f t="shared" si="5"/>
        <v>15</v>
      </c>
      <c r="B240" s="944" t="s">
        <v>649</v>
      </c>
      <c r="C240" s="949">
        <f>C230-C235</f>
        <v>692</v>
      </c>
      <c r="D240" s="949">
        <f>D230-D235</f>
        <v>-4222</v>
      </c>
      <c r="E240" s="949">
        <f>E230-E235</f>
        <v>-3169</v>
      </c>
      <c r="F240" s="949">
        <f>F230-F235</f>
        <v>-2730</v>
      </c>
      <c r="G240" s="949">
        <f>G230-G235</f>
        <v>-1760</v>
      </c>
      <c r="H240" s="932"/>
      <c r="I240" s="933"/>
      <c r="J240" s="933"/>
      <c r="K240" s="933"/>
      <c r="L240" s="933"/>
      <c r="M240" s="933"/>
      <c r="N240" s="933"/>
      <c r="O240" s="933"/>
      <c r="P240" s="933"/>
      <c r="Q240" s="933"/>
      <c r="R240" s="933"/>
      <c r="S240" s="933"/>
      <c r="T240" s="933"/>
    </row>
    <row r="241" spans="1:20" ht="12.75">
      <c r="A241" s="932"/>
      <c r="B241" s="932"/>
      <c r="C241" s="932"/>
      <c r="D241" s="932"/>
      <c r="E241" s="941"/>
      <c r="F241" s="932"/>
      <c r="G241" s="932"/>
      <c r="H241" s="932"/>
      <c r="I241" s="933"/>
      <c r="J241" s="933"/>
      <c r="K241" s="933"/>
      <c r="L241" s="933"/>
      <c r="M241" s="933"/>
      <c r="N241" s="933"/>
      <c r="O241" s="933"/>
      <c r="P241" s="933"/>
      <c r="Q241" s="933"/>
      <c r="R241" s="933"/>
      <c r="S241" s="933"/>
      <c r="T241" s="933"/>
    </row>
    <row r="242" spans="1:20" ht="12.75">
      <c r="A242" s="932"/>
      <c r="B242" s="932"/>
      <c r="C242" s="932"/>
      <c r="D242" s="932"/>
      <c r="E242" s="932"/>
      <c r="F242" s="932"/>
      <c r="G242" s="932"/>
      <c r="H242" s="932"/>
      <c r="I242" s="933"/>
      <c r="J242" s="933"/>
      <c r="K242" s="933"/>
      <c r="L242" s="933"/>
      <c r="M242" s="933"/>
      <c r="N242" s="933"/>
      <c r="O242" s="933"/>
      <c r="P242" s="933"/>
      <c r="Q242" s="933"/>
      <c r="R242" s="933"/>
      <c r="S242" s="933"/>
      <c r="T242" s="933"/>
    </row>
    <row r="243" spans="1:20" ht="12.75">
      <c r="A243" s="932"/>
      <c r="B243" s="932"/>
      <c r="C243" s="932"/>
      <c r="D243" s="932"/>
      <c r="E243" s="932"/>
      <c r="F243" s="932"/>
      <c r="G243" s="932"/>
      <c r="H243" s="932"/>
      <c r="I243" s="933"/>
      <c r="J243" s="933"/>
      <c r="K243" s="933"/>
      <c r="L243" s="933"/>
      <c r="M243" s="933"/>
      <c r="N243" s="933"/>
      <c r="O243" s="933"/>
      <c r="P243" s="933"/>
      <c r="Q243" s="933"/>
      <c r="R243" s="933"/>
      <c r="S243" s="933"/>
      <c r="T243" s="933"/>
    </row>
    <row r="244" spans="1:20" ht="12.75">
      <c r="A244" s="932"/>
      <c r="B244" s="932" t="s">
        <v>802</v>
      </c>
      <c r="C244" s="932"/>
      <c r="D244" s="932"/>
      <c r="E244" s="932"/>
      <c r="F244" s="932"/>
      <c r="G244" s="932"/>
      <c r="H244" s="932"/>
      <c r="I244" s="933"/>
      <c r="J244" s="933"/>
      <c r="K244" s="933"/>
      <c r="L244" s="933"/>
      <c r="M244" s="933"/>
      <c r="N244" s="933"/>
      <c r="O244" s="933"/>
      <c r="P244" s="933"/>
      <c r="Q244" s="933"/>
      <c r="R244" s="933"/>
      <c r="S244" s="933"/>
      <c r="T244" s="933"/>
    </row>
    <row r="245" spans="1:20" ht="12.75">
      <c r="A245" s="932" t="s">
        <v>650</v>
      </c>
      <c r="B245" s="932" t="s">
        <v>651</v>
      </c>
      <c r="C245" s="932"/>
      <c r="D245" s="932"/>
      <c r="E245" s="932"/>
      <c r="F245" s="932"/>
      <c r="G245" s="932"/>
      <c r="H245" s="932"/>
      <c r="I245" s="933"/>
      <c r="J245" s="933"/>
      <c r="K245" s="933"/>
      <c r="L245" s="933"/>
      <c r="M245" s="933"/>
      <c r="N245" s="933"/>
      <c r="O245" s="933"/>
      <c r="P245" s="933"/>
      <c r="Q245" s="933"/>
      <c r="R245" s="933"/>
      <c r="S245" s="933"/>
      <c r="T245" s="933"/>
    </row>
    <row r="246" spans="1:20" ht="12.75">
      <c r="A246" s="932"/>
      <c r="B246" s="932"/>
      <c r="C246" s="932" t="str">
        <f>+B3</f>
        <v>U 000 din</v>
      </c>
      <c r="D246" s="932"/>
      <c r="E246" s="932"/>
      <c r="F246" s="932"/>
      <c r="G246" s="932"/>
      <c r="H246" s="932"/>
      <c r="I246" s="933"/>
      <c r="J246" s="933"/>
      <c r="K246" s="933"/>
      <c r="L246" s="933"/>
      <c r="M246" s="933"/>
      <c r="N246" s="933"/>
      <c r="O246" s="933"/>
      <c r="P246" s="933"/>
      <c r="Q246" s="933"/>
      <c r="R246" s="933"/>
      <c r="S246" s="933"/>
      <c r="T246" s="933"/>
    </row>
    <row r="247" spans="1:20" ht="18">
      <c r="A247" s="944" t="s">
        <v>652</v>
      </c>
      <c r="B247" s="969" t="s">
        <v>1441</v>
      </c>
      <c r="C247" s="944"/>
      <c r="D247" s="944" t="s">
        <v>419</v>
      </c>
      <c r="E247" s="944"/>
      <c r="F247" s="944"/>
      <c r="G247" s="944"/>
      <c r="H247" s="932"/>
      <c r="I247" s="933"/>
      <c r="J247" s="933"/>
      <c r="K247" s="933"/>
      <c r="L247" s="933"/>
      <c r="M247" s="933"/>
      <c r="N247" s="933"/>
      <c r="O247" s="933"/>
      <c r="P247" s="933"/>
      <c r="Q247" s="933"/>
      <c r="R247" s="933"/>
      <c r="S247" s="933"/>
      <c r="T247" s="933"/>
    </row>
    <row r="248" spans="1:20" ht="12.75">
      <c r="A248" s="944" t="s">
        <v>634</v>
      </c>
      <c r="B248" s="944"/>
      <c r="C248" s="944">
        <f>+$D$6</f>
        <v>2002</v>
      </c>
      <c r="D248" s="944">
        <f>+$E$6</f>
        <v>2001</v>
      </c>
      <c r="E248" s="944">
        <f>+$F$6</f>
        <v>2000</v>
      </c>
      <c r="F248" s="944">
        <f>+$G$6</f>
        <v>1999</v>
      </c>
      <c r="G248" s="944">
        <f>+$H$6</f>
        <v>1998</v>
      </c>
      <c r="H248" s="932"/>
      <c r="I248" s="933"/>
      <c r="J248" s="933"/>
      <c r="K248" s="933"/>
      <c r="L248" s="933"/>
      <c r="M248" s="933"/>
      <c r="N248" s="933"/>
      <c r="O248" s="933"/>
      <c r="P248" s="933"/>
      <c r="Q248" s="933"/>
      <c r="R248" s="933"/>
      <c r="S248" s="933"/>
      <c r="T248" s="933"/>
    </row>
    <row r="249" spans="1:20" ht="12.75">
      <c r="A249" s="944">
        <v>1</v>
      </c>
      <c r="B249" s="944">
        <f aca="true" t="shared" si="7" ref="B249:G249">A249+1</f>
        <v>2</v>
      </c>
      <c r="C249" s="944">
        <f t="shared" si="7"/>
        <v>3</v>
      </c>
      <c r="D249" s="944">
        <f t="shared" si="7"/>
        <v>4</v>
      </c>
      <c r="E249" s="944">
        <f t="shared" si="7"/>
        <v>5</v>
      </c>
      <c r="F249" s="944">
        <f t="shared" si="7"/>
        <v>6</v>
      </c>
      <c r="G249" s="944">
        <f t="shared" si="7"/>
        <v>7</v>
      </c>
      <c r="H249" s="932"/>
      <c r="I249" s="933"/>
      <c r="J249" s="933"/>
      <c r="K249" s="933"/>
      <c r="L249" s="933"/>
      <c r="M249" s="933"/>
      <c r="N249" s="933"/>
      <c r="O249" s="933"/>
      <c r="P249" s="933"/>
      <c r="Q249" s="933"/>
      <c r="R249" s="933"/>
      <c r="S249" s="933"/>
      <c r="T249" s="933"/>
    </row>
    <row r="250" spans="1:20" ht="12.75">
      <c r="A250" s="944">
        <v>1</v>
      </c>
      <c r="B250" s="944" t="s">
        <v>635</v>
      </c>
      <c r="C250" s="970">
        <f>+D129</f>
        <v>100551</v>
      </c>
      <c r="D250" s="970">
        <f>+E129</f>
        <v>43105</v>
      </c>
      <c r="E250" s="970">
        <f>+F129</f>
        <v>25162</v>
      </c>
      <c r="F250" s="970">
        <f>+G129</f>
        <v>9934</v>
      </c>
      <c r="G250" s="970">
        <f>+H129</f>
        <v>10251</v>
      </c>
      <c r="H250" s="932"/>
      <c r="I250" s="933"/>
      <c r="J250" s="933"/>
      <c r="K250" s="933"/>
      <c r="L250" s="933"/>
      <c r="M250" s="933"/>
      <c r="N250" s="933"/>
      <c r="O250" s="933"/>
      <c r="P250" s="933"/>
      <c r="Q250" s="933"/>
      <c r="R250" s="933"/>
      <c r="S250" s="933"/>
      <c r="T250" s="933"/>
    </row>
    <row r="251" spans="1:20" ht="12.75">
      <c r="A251" s="944">
        <v>2</v>
      </c>
      <c r="B251" s="944" t="s">
        <v>653</v>
      </c>
      <c r="C251" s="949">
        <f>+D145</f>
        <v>22189</v>
      </c>
      <c r="D251" s="949">
        <f>+E145</f>
        <v>10453</v>
      </c>
      <c r="E251" s="949">
        <f>+F145</f>
        <v>4438</v>
      </c>
      <c r="F251" s="949">
        <f>+G145</f>
        <v>1530</v>
      </c>
      <c r="G251" s="949">
        <f>+H145</f>
        <v>1874</v>
      </c>
      <c r="H251" s="932"/>
      <c r="I251" s="933"/>
      <c r="J251" s="933"/>
      <c r="K251" s="933"/>
      <c r="L251" s="933"/>
      <c r="M251" s="933"/>
      <c r="N251" s="933"/>
      <c r="O251" s="933"/>
      <c r="P251" s="933"/>
      <c r="Q251" s="933"/>
      <c r="R251" s="933"/>
      <c r="S251" s="933"/>
      <c r="T251" s="933"/>
    </row>
    <row r="252" spans="1:20" ht="12.75">
      <c r="A252" s="944">
        <v>3</v>
      </c>
      <c r="B252" s="944" t="s">
        <v>654</v>
      </c>
      <c r="C252" s="949">
        <f>C250-C251</f>
        <v>78362</v>
      </c>
      <c r="D252" s="949">
        <f>D250-D251</f>
        <v>32652</v>
      </c>
      <c r="E252" s="949">
        <f>E250-E251</f>
        <v>20724</v>
      </c>
      <c r="F252" s="949">
        <f>F250-F251</f>
        <v>8404</v>
      </c>
      <c r="G252" s="949">
        <f>G250-G251</f>
        <v>8377</v>
      </c>
      <c r="H252" s="932"/>
      <c r="I252" s="933"/>
      <c r="J252" s="933"/>
      <c r="K252" s="933"/>
      <c r="L252" s="933"/>
      <c r="M252" s="933"/>
      <c r="N252" s="933"/>
      <c r="O252" s="933"/>
      <c r="P252" s="933"/>
      <c r="Q252" s="933"/>
      <c r="R252" s="933"/>
      <c r="S252" s="933"/>
      <c r="T252" s="933"/>
    </row>
    <row r="253" spans="1:20" ht="12.75">
      <c r="A253" s="944">
        <v>4</v>
      </c>
      <c r="B253" s="944" t="s">
        <v>655</v>
      </c>
      <c r="C253" s="949">
        <f>+C231-C251</f>
        <v>75753</v>
      </c>
      <c r="D253" s="949">
        <f>+D231-D251</f>
        <v>36257</v>
      </c>
      <c r="E253" s="949">
        <f>+E231-E251</f>
        <v>20461</v>
      </c>
      <c r="F253" s="949">
        <f>+F231-F251</f>
        <v>9373</v>
      </c>
      <c r="G253" s="949">
        <f>+G231-G251</f>
        <v>8444</v>
      </c>
      <c r="H253" s="932"/>
      <c r="I253" s="933"/>
      <c r="J253" s="933"/>
      <c r="K253" s="933"/>
      <c r="L253" s="933"/>
      <c r="M253" s="933"/>
      <c r="N253" s="933"/>
      <c r="O253" s="933"/>
      <c r="P253" s="933"/>
      <c r="Q253" s="933"/>
      <c r="R253" s="933"/>
      <c r="S253" s="933"/>
      <c r="T253" s="933"/>
    </row>
    <row r="254" spans="1:20" ht="12.75">
      <c r="A254" s="944">
        <v>5</v>
      </c>
      <c r="B254" s="944" t="s">
        <v>656</v>
      </c>
      <c r="C254" s="949">
        <f>C252-C253</f>
        <v>2609</v>
      </c>
      <c r="D254" s="949">
        <f>D252-D253</f>
        <v>-3605</v>
      </c>
      <c r="E254" s="949">
        <f>E252-E253</f>
        <v>263</v>
      </c>
      <c r="F254" s="949">
        <f>F252-F253</f>
        <v>-969</v>
      </c>
      <c r="G254" s="949">
        <f>G252-G253</f>
        <v>-67</v>
      </c>
      <c r="H254" s="932"/>
      <c r="I254" s="933"/>
      <c r="J254" s="933"/>
      <c r="K254" s="933"/>
      <c r="L254" s="933"/>
      <c r="M254" s="933"/>
      <c r="N254" s="933"/>
      <c r="O254" s="933"/>
      <c r="P254" s="933"/>
      <c r="Q254" s="933"/>
      <c r="R254" s="933"/>
      <c r="S254" s="933"/>
      <c r="T254" s="933"/>
    </row>
    <row r="255" spans="1:20" ht="12.75">
      <c r="A255" s="944">
        <v>6</v>
      </c>
      <c r="B255" s="944" t="s">
        <v>657</v>
      </c>
      <c r="C255" s="949">
        <f>+C227-C232</f>
        <v>-830</v>
      </c>
      <c r="D255" s="949">
        <f>+D227-D232</f>
        <v>-576</v>
      </c>
      <c r="E255" s="949">
        <f>+E227-E232</f>
        <v>-28</v>
      </c>
      <c r="F255" s="949">
        <f>+F227-F232</f>
        <v>22</v>
      </c>
      <c r="G255" s="949">
        <f>+G227-G232</f>
        <v>-72</v>
      </c>
      <c r="H255" s="932"/>
      <c r="I255" s="933"/>
      <c r="J255" s="933"/>
      <c r="K255" s="933"/>
      <c r="L255" s="933"/>
      <c r="M255" s="933"/>
      <c r="N255" s="933"/>
      <c r="O255" s="933"/>
      <c r="P255" s="933"/>
      <c r="Q255" s="933"/>
      <c r="R255" s="933"/>
      <c r="S255" s="933"/>
      <c r="T255" s="933"/>
    </row>
    <row r="256" spans="1:20" ht="12.75">
      <c r="A256" s="944">
        <v>7</v>
      </c>
      <c r="B256" s="944" t="s">
        <v>658</v>
      </c>
      <c r="C256" s="949">
        <f>+C254+C255</f>
        <v>1779</v>
      </c>
      <c r="D256" s="949">
        <f>+D254+D255</f>
        <v>-4181</v>
      </c>
      <c r="E256" s="949">
        <f>+E254+E255</f>
        <v>235</v>
      </c>
      <c r="F256" s="949">
        <f>+F254+F255</f>
        <v>-947</v>
      </c>
      <c r="G256" s="949">
        <f>+G254+G255</f>
        <v>-139</v>
      </c>
      <c r="H256" s="932"/>
      <c r="I256" s="933"/>
      <c r="J256" s="933"/>
      <c r="K256" s="933"/>
      <c r="L256" s="933"/>
      <c r="M256" s="933"/>
      <c r="N256" s="933"/>
      <c r="O256" s="933"/>
      <c r="P256" s="933"/>
      <c r="Q256" s="933"/>
      <c r="R256" s="933"/>
      <c r="S256" s="933"/>
      <c r="T256" s="933"/>
    </row>
    <row r="257" spans="1:20" ht="12.75">
      <c r="A257" s="944">
        <v>8</v>
      </c>
      <c r="B257" s="944" t="s">
        <v>659</v>
      </c>
      <c r="C257" s="949">
        <f>+D212</f>
        <v>0</v>
      </c>
      <c r="D257" s="949">
        <f>+E212</f>
        <v>0</v>
      </c>
      <c r="E257" s="949">
        <f>+F212</f>
        <v>0</v>
      </c>
      <c r="F257" s="949">
        <f>+G212</f>
        <v>0</v>
      </c>
      <c r="G257" s="949">
        <f>+H212</f>
        <v>0</v>
      </c>
      <c r="H257" s="932"/>
      <c r="I257" s="933"/>
      <c r="J257" s="933"/>
      <c r="K257" s="933"/>
      <c r="L257" s="933"/>
      <c r="M257" s="933"/>
      <c r="N257" s="933"/>
      <c r="O257" s="933"/>
      <c r="P257" s="933"/>
      <c r="Q257" s="933"/>
      <c r="R257" s="933"/>
      <c r="S257" s="933"/>
      <c r="T257" s="933"/>
    </row>
    <row r="258" spans="1:20" ht="12.75">
      <c r="A258" s="944">
        <v>9</v>
      </c>
      <c r="B258" s="944" t="s">
        <v>660</v>
      </c>
      <c r="C258" s="949">
        <f>C256-C257</f>
        <v>1779</v>
      </c>
      <c r="D258" s="949">
        <f>D256-D257</f>
        <v>-4181</v>
      </c>
      <c r="E258" s="949">
        <f>E256-E257</f>
        <v>235</v>
      </c>
      <c r="F258" s="949">
        <f>F256-F257</f>
        <v>-947</v>
      </c>
      <c r="G258" s="949">
        <f>G256-G257</f>
        <v>-139</v>
      </c>
      <c r="H258" s="932"/>
      <c r="I258" s="933"/>
      <c r="J258" s="933"/>
      <c r="K258" s="933"/>
      <c r="L258" s="933"/>
      <c r="M258" s="933"/>
      <c r="N258" s="933"/>
      <c r="O258" s="933"/>
      <c r="P258" s="933"/>
      <c r="Q258" s="933"/>
      <c r="R258" s="933"/>
      <c r="S258" s="933"/>
      <c r="T258" s="933"/>
    </row>
    <row r="259" spans="1:20" ht="12.75">
      <c r="A259" s="944">
        <v>10</v>
      </c>
      <c r="B259" s="944" t="s">
        <v>661</v>
      </c>
      <c r="C259" s="971">
        <f>C252/C254</f>
        <v>30.035262552702186</v>
      </c>
      <c r="D259" s="971">
        <f>D252/D254</f>
        <v>-9.057420249653259</v>
      </c>
      <c r="E259" s="971">
        <f>E252/E254</f>
        <v>78.79847908745248</v>
      </c>
      <c r="F259" s="971">
        <f>F252/F254</f>
        <v>-8.672858617131062</v>
      </c>
      <c r="G259" s="971">
        <f>G252/G254</f>
        <v>-125.02985074626865</v>
      </c>
      <c r="H259" s="932"/>
      <c r="I259" s="933"/>
      <c r="J259" s="933"/>
      <c r="K259" s="933"/>
      <c r="L259" s="933"/>
      <c r="M259" s="933"/>
      <c r="N259" s="933"/>
      <c r="O259" s="933"/>
      <c r="P259" s="933"/>
      <c r="Q259" s="933"/>
      <c r="R259" s="933"/>
      <c r="S259" s="933"/>
      <c r="T259" s="933"/>
    </row>
    <row r="260" spans="1:20" ht="12.75">
      <c r="A260" s="944">
        <v>11</v>
      </c>
      <c r="B260" s="944" t="s">
        <v>662</v>
      </c>
      <c r="C260" s="971">
        <f>C254/C256</f>
        <v>1.4665542439572794</v>
      </c>
      <c r="D260" s="971">
        <f>D254/D256</f>
        <v>0.8622339153312605</v>
      </c>
      <c r="E260" s="971">
        <f>E254/E256</f>
        <v>1.1191489361702127</v>
      </c>
      <c r="F260" s="971">
        <f>F254/F256</f>
        <v>1.0232312565997888</v>
      </c>
      <c r="G260" s="971">
        <f>G254/G256</f>
        <v>0.48201438848920863</v>
      </c>
      <c r="H260" s="932"/>
      <c r="I260" s="933"/>
      <c r="J260" s="933"/>
      <c r="K260" s="933"/>
      <c r="L260" s="933"/>
      <c r="M260" s="933"/>
      <c r="N260" s="933"/>
      <c r="O260" s="933"/>
      <c r="P260" s="933"/>
      <c r="Q260" s="933"/>
      <c r="R260" s="933"/>
      <c r="S260" s="933"/>
      <c r="T260" s="933"/>
    </row>
    <row r="261" spans="1:20" ht="12.75">
      <c r="A261" s="944">
        <v>12</v>
      </c>
      <c r="B261" s="944" t="s">
        <v>663</v>
      </c>
      <c r="C261" s="971">
        <f>C256/C258</f>
        <v>1</v>
      </c>
      <c r="D261" s="971">
        <f>D256/D258</f>
        <v>1</v>
      </c>
      <c r="E261" s="971">
        <f>E256/E258</f>
        <v>1</v>
      </c>
      <c r="F261" s="971">
        <f>F256/F258</f>
        <v>1</v>
      </c>
      <c r="G261" s="971">
        <f>G256/G258</f>
        <v>1</v>
      </c>
      <c r="H261" s="932"/>
      <c r="I261" s="933"/>
      <c r="J261" s="933"/>
      <c r="K261" s="933"/>
      <c r="L261" s="933"/>
      <c r="M261" s="933"/>
      <c r="N261" s="933"/>
      <c r="O261" s="933"/>
      <c r="P261" s="933"/>
      <c r="Q261" s="933"/>
      <c r="R261" s="933"/>
      <c r="S261" s="933"/>
      <c r="T261" s="933"/>
    </row>
    <row r="262" spans="1:20" ht="12.75">
      <c r="A262" s="944">
        <v>13</v>
      </c>
      <c r="B262" s="944" t="s">
        <v>664</v>
      </c>
      <c r="C262" s="971">
        <f>C252/C258</f>
        <v>44.04834176503654</v>
      </c>
      <c r="D262" s="971">
        <f>D252/D258</f>
        <v>-7.809614924659172</v>
      </c>
      <c r="E262" s="971">
        <f>E252/E258</f>
        <v>88.18723404255319</v>
      </c>
      <c r="F262" s="971">
        <f>F252/F258</f>
        <v>-8.874340021119323</v>
      </c>
      <c r="G262" s="971">
        <f>G252/G258</f>
        <v>-60.26618705035971</v>
      </c>
      <c r="H262" s="932"/>
      <c r="I262" s="933"/>
      <c r="J262" s="933"/>
      <c r="K262" s="933"/>
      <c r="L262" s="933"/>
      <c r="M262" s="933"/>
      <c r="N262" s="933"/>
      <c r="O262" s="933"/>
      <c r="P262" s="933"/>
      <c r="Q262" s="933"/>
      <c r="R262" s="933"/>
      <c r="S262" s="933"/>
      <c r="T262" s="933"/>
    </row>
    <row r="263" spans="1:20" ht="12.75">
      <c r="A263" s="944">
        <v>14</v>
      </c>
      <c r="B263" s="944" t="s">
        <v>665</v>
      </c>
      <c r="C263" s="972">
        <f>IF(C252&gt;0,C252/C250,0)</f>
        <v>0.779325914212688</v>
      </c>
      <c r="D263" s="972">
        <f>IF(D252&gt;0,D252/D250,0)</f>
        <v>0.7574991300313189</v>
      </c>
      <c r="E263" s="972">
        <f>IF(E252&gt;0,E252/E250,0)</f>
        <v>0.8236229234560051</v>
      </c>
      <c r="F263" s="972">
        <f>IF(F252&gt;0,F252/F250,0)</f>
        <v>0.8459834910408698</v>
      </c>
      <c r="G263" s="972">
        <f>IF(G252&gt;0,G252/G250,0)</f>
        <v>0.8171885669690762</v>
      </c>
      <c r="H263" s="932"/>
      <c r="I263" s="933"/>
      <c r="J263" s="933"/>
      <c r="K263" s="933"/>
      <c r="L263" s="933"/>
      <c r="M263" s="933"/>
      <c r="N263" s="933"/>
      <c r="O263" s="933"/>
      <c r="P263" s="933"/>
      <c r="Q263" s="933"/>
      <c r="R263" s="933"/>
      <c r="S263" s="933"/>
      <c r="T263" s="933"/>
    </row>
    <row r="264" spans="1:20" ht="12.75">
      <c r="A264" s="944">
        <v>15</v>
      </c>
      <c r="B264" s="944" t="s">
        <v>666</v>
      </c>
      <c r="C264" s="949">
        <f>IF(C263&gt;0,(C253/C263),-C258-C252)</f>
        <v>97203.23502462929</v>
      </c>
      <c r="D264" s="949">
        <f>IF(D263&gt;0,(D253/D263),-D258-D252)</f>
        <v>47864.08137326963</v>
      </c>
      <c r="E264" s="949">
        <f>IF(E263&gt;0,(E253/E263),-E258-E252)</f>
        <v>24842.679116000774</v>
      </c>
      <c r="F264" s="949">
        <f>IF(F263&gt;0,(F253/F263),-F258-F252)</f>
        <v>11079.412422655878</v>
      </c>
      <c r="G264" s="949">
        <f>IF(G263&gt;0,(G253/G263),-G258-G252)</f>
        <v>10332.98842067566</v>
      </c>
      <c r="H264" s="932"/>
      <c r="I264" s="933"/>
      <c r="J264" s="933"/>
      <c r="K264" s="933"/>
      <c r="L264" s="933"/>
      <c r="M264" s="933"/>
      <c r="N264" s="933"/>
      <c r="O264" s="933"/>
      <c r="P264" s="933"/>
      <c r="Q264" s="933"/>
      <c r="R264" s="933"/>
      <c r="S264" s="933"/>
      <c r="T264" s="933"/>
    </row>
    <row r="265" spans="1:20" ht="12.75">
      <c r="A265" s="944">
        <v>16</v>
      </c>
      <c r="B265" s="944" t="s">
        <v>667</v>
      </c>
      <c r="C265" s="972">
        <f>+C250/C264</f>
        <v>1.0344408802291658</v>
      </c>
      <c r="D265" s="972">
        <f>+D250/D264</f>
        <v>0.90057092423532</v>
      </c>
      <c r="E265" s="972">
        <f>+E250/E264</f>
        <v>1.012853721714481</v>
      </c>
      <c r="F265" s="972">
        <f>+F250/F264</f>
        <v>0.8966179451616345</v>
      </c>
      <c r="G265" s="972">
        <f>+G250/G264</f>
        <v>0.9920653718616769</v>
      </c>
      <c r="H265" s="932"/>
      <c r="I265" s="933"/>
      <c r="J265" s="933"/>
      <c r="K265" s="933"/>
      <c r="L265" s="933"/>
      <c r="M265" s="933"/>
      <c r="N265" s="933"/>
      <c r="O265" s="933"/>
      <c r="P265" s="933"/>
      <c r="Q265" s="933"/>
      <c r="R265" s="933"/>
      <c r="S265" s="933"/>
      <c r="T265" s="933"/>
    </row>
    <row r="266" spans="1:20" ht="12.75">
      <c r="A266" s="932"/>
      <c r="B266" s="932"/>
      <c r="C266" s="932"/>
      <c r="D266" s="932"/>
      <c r="E266" s="932"/>
      <c r="F266" s="932"/>
      <c r="G266" s="932"/>
      <c r="H266" s="932"/>
      <c r="I266" s="933"/>
      <c r="J266" s="933"/>
      <c r="K266" s="933"/>
      <c r="L266" s="933"/>
      <c r="M266" s="933"/>
      <c r="N266" s="933"/>
      <c r="O266" s="933"/>
      <c r="P266" s="933"/>
      <c r="Q266" s="933"/>
      <c r="R266" s="933"/>
      <c r="S266" s="933"/>
      <c r="T266" s="933"/>
    </row>
    <row r="267" spans="1:20" ht="12.75">
      <c r="A267" s="932"/>
      <c r="B267" s="932"/>
      <c r="C267" s="932"/>
      <c r="D267" s="932"/>
      <c r="E267" s="932"/>
      <c r="F267" s="932"/>
      <c r="G267" s="932"/>
      <c r="H267" s="932"/>
      <c r="I267" s="933"/>
      <c r="J267" s="933"/>
      <c r="K267" s="933"/>
      <c r="L267" s="933"/>
      <c r="M267" s="933"/>
      <c r="N267" s="933"/>
      <c r="O267" s="933"/>
      <c r="P267" s="933"/>
      <c r="Q267" s="933"/>
      <c r="R267" s="933"/>
      <c r="S267" s="933"/>
      <c r="T267" s="933"/>
    </row>
    <row r="268" spans="1:20" ht="12.75">
      <c r="A268" s="932"/>
      <c r="B268" s="932" t="s">
        <v>802</v>
      </c>
      <c r="C268" s="932"/>
      <c r="D268" s="932"/>
      <c r="E268" s="932"/>
      <c r="F268" s="932"/>
      <c r="G268" s="932"/>
      <c r="H268" s="932"/>
      <c r="I268" s="933"/>
      <c r="J268" s="933"/>
      <c r="K268" s="933"/>
      <c r="L268" s="933"/>
      <c r="M268" s="933"/>
      <c r="N268" s="933"/>
      <c r="O268" s="933"/>
      <c r="P268" s="933"/>
      <c r="Q268" s="933"/>
      <c r="R268" s="933"/>
      <c r="S268" s="933"/>
      <c r="T268" s="933"/>
    </row>
    <row r="269" spans="1:20" ht="12.75">
      <c r="A269" s="932" t="s">
        <v>668</v>
      </c>
      <c r="B269" s="932" t="s">
        <v>669</v>
      </c>
      <c r="C269" s="932"/>
      <c r="D269" s="932"/>
      <c r="E269" s="932"/>
      <c r="F269" s="932"/>
      <c r="G269" s="932"/>
      <c r="H269" s="932"/>
      <c r="I269" s="933"/>
      <c r="J269" s="933"/>
      <c r="K269" s="933"/>
      <c r="L269" s="933"/>
      <c r="M269" s="933"/>
      <c r="N269" s="933"/>
      <c r="O269" s="933"/>
      <c r="P269" s="933"/>
      <c r="Q269" s="933"/>
      <c r="R269" s="933"/>
      <c r="S269" s="933"/>
      <c r="T269" s="933"/>
    </row>
    <row r="270" spans="1:20" ht="12.75">
      <c r="A270" s="932"/>
      <c r="B270" s="932"/>
      <c r="C270" s="932" t="str">
        <f>+B3</f>
        <v>U 000 din</v>
      </c>
      <c r="D270" s="932"/>
      <c r="E270" s="932"/>
      <c r="F270" s="932"/>
      <c r="G270" s="932"/>
      <c r="H270" s="932"/>
      <c r="I270" s="933"/>
      <c r="J270" s="933"/>
      <c r="K270" s="933"/>
      <c r="L270" s="933"/>
      <c r="M270" s="933"/>
      <c r="N270" s="933"/>
      <c r="O270" s="933"/>
      <c r="P270" s="933"/>
      <c r="Q270" s="933"/>
      <c r="R270" s="933"/>
      <c r="S270" s="933"/>
      <c r="T270" s="933"/>
    </row>
    <row r="271" spans="1:20" ht="12.75">
      <c r="A271" s="944" t="s">
        <v>633</v>
      </c>
      <c r="B271" s="944" t="s">
        <v>1441</v>
      </c>
      <c r="C271" s="944"/>
      <c r="D271" s="944" t="s">
        <v>419</v>
      </c>
      <c r="E271" s="944"/>
      <c r="F271" s="944"/>
      <c r="G271" s="944"/>
      <c r="H271" s="932"/>
      <c r="I271" s="933"/>
      <c r="J271" s="933"/>
      <c r="K271" s="933"/>
      <c r="L271" s="933"/>
      <c r="M271" s="933"/>
      <c r="N271" s="933"/>
      <c r="O271" s="933"/>
      <c r="P271" s="933"/>
      <c r="Q271" s="933"/>
      <c r="R271" s="933"/>
      <c r="S271" s="933"/>
      <c r="T271" s="933"/>
    </row>
    <row r="272" spans="1:20" ht="12.75">
      <c r="A272" s="944" t="s">
        <v>634</v>
      </c>
      <c r="B272" s="944"/>
      <c r="C272" s="944">
        <f>+$D$6</f>
        <v>2002</v>
      </c>
      <c r="D272" s="944">
        <f>+$E$6</f>
        <v>2001</v>
      </c>
      <c r="E272" s="944">
        <f>+$F$6</f>
        <v>2000</v>
      </c>
      <c r="F272" s="944">
        <f>+$G$6</f>
        <v>1999</v>
      </c>
      <c r="G272" s="944">
        <f>+$H$6</f>
        <v>1998</v>
      </c>
      <c r="H272" s="932"/>
      <c r="I272" s="933"/>
      <c r="J272" s="933"/>
      <c r="K272" s="933"/>
      <c r="L272" s="933"/>
      <c r="M272" s="933"/>
      <c r="N272" s="933"/>
      <c r="O272" s="933"/>
      <c r="P272" s="933"/>
      <c r="Q272" s="933"/>
      <c r="R272" s="933"/>
      <c r="S272" s="933"/>
      <c r="T272" s="933"/>
    </row>
    <row r="273" spans="1:20" ht="12.75">
      <c r="A273" s="944">
        <v>1</v>
      </c>
      <c r="B273" s="944">
        <f aca="true" t="shared" si="8" ref="B273:G273">A273+1</f>
        <v>2</v>
      </c>
      <c r="C273" s="944">
        <f t="shared" si="8"/>
        <v>3</v>
      </c>
      <c r="D273" s="944">
        <f t="shared" si="8"/>
        <v>4</v>
      </c>
      <c r="E273" s="944">
        <f t="shared" si="8"/>
        <v>5</v>
      </c>
      <c r="F273" s="944">
        <f t="shared" si="8"/>
        <v>6</v>
      </c>
      <c r="G273" s="944">
        <f t="shared" si="8"/>
        <v>7</v>
      </c>
      <c r="H273" s="932"/>
      <c r="I273" s="933"/>
      <c r="J273" s="933"/>
      <c r="K273" s="933"/>
      <c r="L273" s="933"/>
      <c r="M273" s="933"/>
      <c r="N273" s="933"/>
      <c r="O273" s="933"/>
      <c r="P273" s="933"/>
      <c r="Q273" s="933"/>
      <c r="R273" s="933"/>
      <c r="S273" s="933"/>
      <c r="T273" s="933"/>
    </row>
    <row r="274" spans="1:20" ht="12.75">
      <c r="A274" s="944">
        <v>1</v>
      </c>
      <c r="B274" s="944" t="s">
        <v>670</v>
      </c>
      <c r="C274" s="967">
        <f>+C291+C283-C275</f>
        <v>4931</v>
      </c>
      <c r="D274" s="967">
        <f>+D291+D283-D275</f>
        <v>3473</v>
      </c>
      <c r="E274" s="967">
        <f>+E291+E283-E275</f>
        <v>1828</v>
      </c>
      <c r="F274" s="967">
        <f>+F291+F283-F275</f>
        <v>2658</v>
      </c>
      <c r="G274" s="967">
        <f>+G291+G283-G275</f>
        <v>2147</v>
      </c>
      <c r="H274" s="932"/>
      <c r="I274" s="933"/>
      <c r="J274" s="933"/>
      <c r="K274" s="933"/>
      <c r="L274" s="933"/>
      <c r="M274" s="933"/>
      <c r="N274" s="933"/>
      <c r="O274" s="933"/>
      <c r="P274" s="933"/>
      <c r="Q274" s="933"/>
      <c r="R274" s="933"/>
      <c r="S274" s="933"/>
      <c r="T274" s="933"/>
    </row>
    <row r="275" spans="1:20" ht="12.75">
      <c r="A275" s="944">
        <v>2</v>
      </c>
      <c r="B275" s="944" t="s">
        <v>671</v>
      </c>
      <c r="C275" s="967">
        <f>SUM(C276:C282)</f>
        <v>14775</v>
      </c>
      <c r="D275" s="967">
        <f>SUM(D276:D282)</f>
        <v>17472</v>
      </c>
      <c r="E275" s="967">
        <f>SUM(E276:E282)</f>
        <v>26692</v>
      </c>
      <c r="F275" s="967">
        <f>SUM(F276:F282)</f>
        <v>7864</v>
      </c>
      <c r="G275" s="967">
        <f>SUM(G276:G282)</f>
        <v>5268</v>
      </c>
      <c r="H275" s="932"/>
      <c r="I275" s="933"/>
      <c r="J275" s="933"/>
      <c r="K275" s="933"/>
      <c r="L275" s="933"/>
      <c r="M275" s="933"/>
      <c r="N275" s="933"/>
      <c r="O275" s="933"/>
      <c r="P275" s="933"/>
      <c r="Q275" s="933"/>
      <c r="R275" s="933"/>
      <c r="S275" s="933"/>
      <c r="T275" s="933"/>
    </row>
    <row r="276" spans="1:20" ht="12.75">
      <c r="A276" s="944" t="s">
        <v>672</v>
      </c>
      <c r="B276" s="944" t="s">
        <v>673</v>
      </c>
      <c r="C276" s="967">
        <f>IF((D71-E71)&gt;0,(D71-E71),0)</f>
        <v>10295</v>
      </c>
      <c r="D276" s="967">
        <f>IF((E71-F71)&gt;0,(E71-F71),0)</f>
        <v>17374</v>
      </c>
      <c r="E276" s="967">
        <f>IF((F71-G71)&gt;0,(F71-G71),0)</f>
        <v>26692</v>
      </c>
      <c r="F276" s="967">
        <f>IF((G71-H71)&gt;0,(G71-H71),0)</f>
        <v>7864</v>
      </c>
      <c r="G276" s="967">
        <f>IF((H71-I71)&gt;0,(H71-I71),0)</f>
        <v>5268</v>
      </c>
      <c r="H276" s="932"/>
      <c r="I276" s="933"/>
      <c r="J276" s="933"/>
      <c r="K276" s="933"/>
      <c r="L276" s="933"/>
      <c r="M276" s="933"/>
      <c r="N276" s="933"/>
      <c r="O276" s="933"/>
      <c r="P276" s="933"/>
      <c r="Q276" s="933"/>
      <c r="R276" s="933"/>
      <c r="S276" s="933"/>
      <c r="T276" s="933"/>
    </row>
    <row r="277" spans="1:20" ht="12.75">
      <c r="A277" s="944" t="s">
        <v>674</v>
      </c>
      <c r="B277" s="944" t="s">
        <v>675</v>
      </c>
      <c r="C277" s="967">
        <f>IF((D89-E89)&gt;0,(D89-E89),0)</f>
        <v>0</v>
      </c>
      <c r="D277" s="967">
        <f>IF((E89-F89)&gt;0,(E89-F89),0)</f>
        <v>0</v>
      </c>
      <c r="E277" s="967">
        <f>IF((F89-G89)&gt;0,(F89-G89),0)</f>
        <v>0</v>
      </c>
      <c r="F277" s="967">
        <f>IF((G89-H89)&gt;0,(G89-H89),0)</f>
        <v>0</v>
      </c>
      <c r="G277" s="967">
        <f>IF((H89-I89)&gt;0,(H89-I89),0)</f>
        <v>0</v>
      </c>
      <c r="H277" s="932"/>
      <c r="I277" s="933"/>
      <c r="J277" s="933"/>
      <c r="K277" s="933"/>
      <c r="L277" s="933"/>
      <c r="M277" s="933"/>
      <c r="N277" s="933"/>
      <c r="O277" s="933"/>
      <c r="P277" s="933"/>
      <c r="Q277" s="933"/>
      <c r="R277" s="933"/>
      <c r="S277" s="933"/>
      <c r="T277" s="933"/>
    </row>
    <row r="278" spans="1:20" ht="12.75">
      <c r="A278" s="944" t="s">
        <v>676</v>
      </c>
      <c r="B278" s="944" t="s">
        <v>677</v>
      </c>
      <c r="C278" s="967">
        <f>IF((D95-E95)&gt;0,(D95-E95),0)</f>
        <v>4480</v>
      </c>
      <c r="D278" s="967">
        <f>IF((E95-F95)&gt;0,(E95-F95),0)</f>
        <v>0</v>
      </c>
      <c r="E278" s="967">
        <f>IF((F95-G95)&gt;0,(F95-G95),0)</f>
        <v>0</v>
      </c>
      <c r="F278" s="967">
        <f>IF((G95-H95)&gt;0,(G95-H95),0)</f>
        <v>0</v>
      </c>
      <c r="G278" s="967">
        <f>IF((H95-I95)&gt;0,(H95-I95),0)</f>
        <v>0</v>
      </c>
      <c r="H278" s="932"/>
      <c r="I278" s="933"/>
      <c r="J278" s="933"/>
      <c r="K278" s="933"/>
      <c r="L278" s="933"/>
      <c r="M278" s="933"/>
      <c r="N278" s="933"/>
      <c r="O278" s="933"/>
      <c r="P278" s="933"/>
      <c r="Q278" s="933"/>
      <c r="R278" s="933"/>
      <c r="S278" s="933"/>
      <c r="T278" s="933"/>
    </row>
    <row r="279" spans="1:20" ht="12.75">
      <c r="A279" s="944" t="s">
        <v>678</v>
      </c>
      <c r="B279" s="944" t="s">
        <v>679</v>
      </c>
      <c r="C279" s="967">
        <f>IF(((D113-E113))&gt;0,((D113-E113)),0)</f>
        <v>0</v>
      </c>
      <c r="D279" s="967">
        <f>IF(((E113-F113))&gt;0,((E113-F113)),0)</f>
        <v>98</v>
      </c>
      <c r="E279" s="967">
        <f>IF(((F113-G113))&gt;0,((F113-G113)),0)</f>
        <v>0</v>
      </c>
      <c r="F279" s="967">
        <f>IF(((G113-H113))&gt;0,((G113-H113)),0)</f>
        <v>0</v>
      </c>
      <c r="G279" s="967">
        <f>IF(((H113-I113))&gt;0,((H113-I113)),0)</f>
        <v>0</v>
      </c>
      <c r="H279" s="932"/>
      <c r="I279" s="933"/>
      <c r="J279" s="933"/>
      <c r="K279" s="933"/>
      <c r="L279" s="933"/>
      <c r="M279" s="933"/>
      <c r="N279" s="933"/>
      <c r="O279" s="933"/>
      <c r="P279" s="933"/>
      <c r="Q279" s="933"/>
      <c r="R279" s="933"/>
      <c r="S279" s="933"/>
      <c r="T279" s="933"/>
    </row>
    <row r="280" spans="1:20" ht="12.75">
      <c r="A280" s="944" t="s">
        <v>680</v>
      </c>
      <c r="B280" s="944" t="s">
        <v>681</v>
      </c>
      <c r="C280" s="967">
        <f>IF((E10-D10)&gt;0,(E10-D10),0)</f>
        <v>0</v>
      </c>
      <c r="D280" s="967">
        <f>IF((F10-E10)&gt;0,(F10-E10),0)</f>
        <v>0</v>
      </c>
      <c r="E280" s="967">
        <f>IF((G10-F10)&gt;0,(G10-F10),0)</f>
        <v>0</v>
      </c>
      <c r="F280" s="967">
        <f>IF((H10-G10)&gt;0,(H10-G10),0)</f>
        <v>0</v>
      </c>
      <c r="G280" s="967">
        <f>IF((I10-H10)&gt;0,(I10-H10),0)</f>
        <v>0</v>
      </c>
      <c r="H280" s="932"/>
      <c r="I280" s="933"/>
      <c r="J280" s="933"/>
      <c r="K280" s="933"/>
      <c r="L280" s="933"/>
      <c r="M280" s="933"/>
      <c r="N280" s="933"/>
      <c r="O280" s="933"/>
      <c r="P280" s="933"/>
      <c r="Q280" s="933"/>
      <c r="R280" s="933"/>
      <c r="S280" s="933"/>
      <c r="T280" s="933"/>
    </row>
    <row r="281" spans="1:20" ht="12.75">
      <c r="A281" s="944" t="s">
        <v>682</v>
      </c>
      <c r="B281" s="944" t="s">
        <v>683</v>
      </c>
      <c r="C281" s="967">
        <f>IF(((E9+E56)-(D9+D56))&gt;0,((E9+E56)-(D9+D56)),0)</f>
        <v>0</v>
      </c>
      <c r="D281" s="967">
        <f>IF(((F9+F56)-(E9+E56))&gt;0,((F9+F56)-(E9+E56)),0)</f>
        <v>0</v>
      </c>
      <c r="E281" s="967">
        <f>IF(((G9+G56)-(F9+F56))&gt;0,((G9+G56)-(F9+F56)),0)</f>
        <v>0</v>
      </c>
      <c r="F281" s="967">
        <f>IF(((H9+H56)-(G9+G56))&gt;0,((H9+H56)-(G9+G56)),0)</f>
        <v>0</v>
      </c>
      <c r="G281" s="967">
        <f>IF(((I9+I56)-(H9+H56))&gt;0,((I9+I56)-(H9+H56)),0)</f>
        <v>0</v>
      </c>
      <c r="H281" s="932"/>
      <c r="I281" s="933"/>
      <c r="J281" s="933"/>
      <c r="K281" s="933"/>
      <c r="L281" s="933"/>
      <c r="M281" s="933"/>
      <c r="N281" s="933"/>
      <c r="O281" s="933"/>
      <c r="P281" s="933"/>
      <c r="Q281" s="933"/>
      <c r="R281" s="933"/>
      <c r="S281" s="933"/>
      <c r="T281" s="933"/>
    </row>
    <row r="282" spans="1:20" ht="12.75">
      <c r="A282" s="944" t="s">
        <v>684</v>
      </c>
      <c r="B282" s="944" t="s">
        <v>685</v>
      </c>
      <c r="C282" s="967">
        <f>IF((E58-D58)&gt;0,(E58-D58),0)</f>
        <v>0</v>
      </c>
      <c r="D282" s="967">
        <f>IF((F58-E58)&gt;0,(F58-E58),0)</f>
        <v>0</v>
      </c>
      <c r="E282" s="967">
        <f>IF((G58-F58)&gt;0,(G58-F58),0)</f>
        <v>0</v>
      </c>
      <c r="F282" s="967">
        <f>IF((H58-G58)&gt;0,(H58-G58),0)</f>
        <v>0</v>
      </c>
      <c r="G282" s="967">
        <f>IF((I58-H58)&gt;0,(I58-H58),0)</f>
        <v>0</v>
      </c>
      <c r="H282" s="932"/>
      <c r="I282" s="933"/>
      <c r="J282" s="933"/>
      <c r="K282" s="933"/>
      <c r="L282" s="933"/>
      <c r="M282" s="933"/>
      <c r="N282" s="933"/>
      <c r="O282" s="933"/>
      <c r="P282" s="933"/>
      <c r="Q282" s="933"/>
      <c r="R282" s="933"/>
      <c r="S282" s="933"/>
      <c r="T282" s="933"/>
    </row>
    <row r="283" spans="1:20" ht="12.75">
      <c r="A283" s="944">
        <v>3</v>
      </c>
      <c r="B283" s="944" t="s">
        <v>686</v>
      </c>
      <c r="C283" s="967">
        <f>SUM(C284:C290)</f>
        <v>12139</v>
      </c>
      <c r="D283" s="967">
        <f>SUM(D284:D290)</f>
        <v>16112</v>
      </c>
      <c r="E283" s="967">
        <f>SUM(E284:E290)</f>
        <v>24949</v>
      </c>
      <c r="F283" s="967">
        <f>SUM(F284:F290)</f>
        <v>8694</v>
      </c>
      <c r="G283" s="967">
        <f>SUM(G284:G290)</f>
        <v>4757</v>
      </c>
      <c r="H283" s="932"/>
      <c r="I283" s="933"/>
      <c r="J283" s="933"/>
      <c r="K283" s="933"/>
      <c r="L283" s="933"/>
      <c r="M283" s="933"/>
      <c r="N283" s="933"/>
      <c r="O283" s="933"/>
      <c r="P283" s="933"/>
      <c r="Q283" s="933"/>
      <c r="R283" s="933"/>
      <c r="S283" s="933"/>
      <c r="T283" s="933"/>
    </row>
    <row r="284" spans="1:20" ht="12.75">
      <c r="A284" s="944" t="s">
        <v>687</v>
      </c>
      <c r="B284" s="944" t="s">
        <v>688</v>
      </c>
      <c r="C284" s="967">
        <f>IF((E71-D71)&gt;0,(E71-D71),0)</f>
        <v>0</v>
      </c>
      <c r="D284" s="967">
        <f>IF((F71-E71)&gt;0,(F71-E71),0)</f>
        <v>0</v>
      </c>
      <c r="E284" s="967">
        <f>IF((G71-F71)&gt;0,(G71-F71),0)</f>
        <v>0</v>
      </c>
      <c r="F284" s="967">
        <f>IF((H71-G71)&gt;0,(H71-G71),0)</f>
        <v>0</v>
      </c>
      <c r="G284" s="967">
        <f>IF((I71-H71)&gt;0,(I71-H71),0)</f>
        <v>0</v>
      </c>
      <c r="H284" s="932"/>
      <c r="I284" s="933"/>
      <c r="J284" s="933"/>
      <c r="K284" s="933"/>
      <c r="L284" s="933"/>
      <c r="M284" s="933"/>
      <c r="N284" s="933"/>
      <c r="O284" s="933"/>
      <c r="P284" s="933"/>
      <c r="Q284" s="933"/>
      <c r="R284" s="933"/>
      <c r="S284" s="933"/>
      <c r="T284" s="933"/>
    </row>
    <row r="285" spans="1:20" ht="12.75">
      <c r="A285" s="944" t="s">
        <v>689</v>
      </c>
      <c r="B285" s="944" t="s">
        <v>690</v>
      </c>
      <c r="C285" s="967">
        <f>IF((E89-D89)&gt;0,(E89-D89),0)</f>
        <v>0</v>
      </c>
      <c r="D285" s="967">
        <f>IF((F89-E89)&gt;0,(F89-E89),0)</f>
        <v>0</v>
      </c>
      <c r="E285" s="967">
        <f>IF((G89-F89)&gt;0,(G89-F89),0)</f>
        <v>0</v>
      </c>
      <c r="F285" s="967">
        <f>IF((H89-G89)&gt;0,(H89-G89),0)</f>
        <v>0</v>
      </c>
      <c r="G285" s="967">
        <f>IF((I89-H89)&gt;0,(I89-H89),0)</f>
        <v>0</v>
      </c>
      <c r="H285" s="932"/>
      <c r="I285" s="933"/>
      <c r="J285" s="933"/>
      <c r="K285" s="933"/>
      <c r="L285" s="933"/>
      <c r="M285" s="933"/>
      <c r="N285" s="933"/>
      <c r="O285" s="933"/>
      <c r="P285" s="933"/>
      <c r="Q285" s="933"/>
      <c r="R285" s="933"/>
      <c r="S285" s="933"/>
      <c r="T285" s="933"/>
    </row>
    <row r="286" spans="1:20" ht="12.75">
      <c r="A286" s="944" t="s">
        <v>691</v>
      </c>
      <c r="B286" s="944" t="s">
        <v>692</v>
      </c>
      <c r="C286" s="967">
        <f>IF((E95-D95)&gt;0,(E95-D95),0)</f>
        <v>0</v>
      </c>
      <c r="D286" s="967">
        <f>IF((F95-E95)&gt;0,(F95-E95),0)</f>
        <v>0</v>
      </c>
      <c r="E286" s="967">
        <f>IF((G95-F95)&gt;0,(G95-F95),0)</f>
        <v>0</v>
      </c>
      <c r="F286" s="967">
        <f>IF((H95-G95)&gt;0,(H95-G95),0)</f>
        <v>0</v>
      </c>
      <c r="G286" s="967">
        <f>IF((I95-H95)&gt;0,(I95-H95),0)</f>
        <v>0</v>
      </c>
      <c r="H286" s="932"/>
      <c r="I286" s="933"/>
      <c r="J286" s="933"/>
      <c r="K286" s="933"/>
      <c r="L286" s="933"/>
      <c r="M286" s="933"/>
      <c r="N286" s="933"/>
      <c r="O286" s="933"/>
      <c r="P286" s="933"/>
      <c r="Q286" s="933"/>
      <c r="R286" s="933"/>
      <c r="S286" s="933"/>
      <c r="T286" s="933"/>
    </row>
    <row r="287" spans="1:20" ht="12.75">
      <c r="A287" s="944" t="s">
        <v>693</v>
      </c>
      <c r="B287" s="944" t="s">
        <v>694</v>
      </c>
      <c r="C287" s="967">
        <f>IF(((E113-D113))&gt;0,((E113-D113)),0)</f>
        <v>98</v>
      </c>
      <c r="D287" s="967">
        <f>IF(((F113-E113))&gt;0,((F113-E113)),0)</f>
        <v>0</v>
      </c>
      <c r="E287" s="967">
        <f>IF(((G113-F113))&gt;0,((G113-F113)),0)</f>
        <v>0</v>
      </c>
      <c r="F287" s="967">
        <f>IF(((H113-G113))&gt;0,((H113-G113)),0)</f>
        <v>0</v>
      </c>
      <c r="G287" s="967">
        <f>IF(((I113-H113))&gt;0,((I113-H113)),0)</f>
        <v>0</v>
      </c>
      <c r="H287" s="932"/>
      <c r="I287" s="933"/>
      <c r="J287" s="933"/>
      <c r="K287" s="933"/>
      <c r="L287" s="933"/>
      <c r="M287" s="933"/>
      <c r="N287" s="933"/>
      <c r="O287" s="933"/>
      <c r="P287" s="933"/>
      <c r="Q287" s="933"/>
      <c r="R287" s="933"/>
      <c r="S287" s="933"/>
      <c r="T287" s="933"/>
    </row>
    <row r="288" spans="1:20" ht="12.75">
      <c r="A288" s="944" t="s">
        <v>695</v>
      </c>
      <c r="B288" s="944" t="s">
        <v>696</v>
      </c>
      <c r="C288" s="967">
        <f>IF((D10-E10)&gt;0,(D10-E10),0)</f>
        <v>8483</v>
      </c>
      <c r="D288" s="967">
        <f>IF((E10-F10)&gt;0,(E10-F10),0)</f>
        <v>6078</v>
      </c>
      <c r="E288" s="967">
        <f>IF((F10-G10)&gt;0,(F10-G10),0)</f>
        <v>15486</v>
      </c>
      <c r="F288" s="967">
        <f>IF((G10-H10)&gt;0,(G10-H10),0)</f>
        <v>5022</v>
      </c>
      <c r="G288" s="967">
        <f>IF((H10-I10)&gt;0,(H10-I10),0)</f>
        <v>3388</v>
      </c>
      <c r="H288" s="932"/>
      <c r="I288" s="933"/>
      <c r="J288" s="933"/>
      <c r="K288" s="933"/>
      <c r="L288" s="933"/>
      <c r="M288" s="933"/>
      <c r="N288" s="933"/>
      <c r="O288" s="933"/>
      <c r="P288" s="933"/>
      <c r="Q288" s="933"/>
      <c r="R288" s="933"/>
      <c r="S288" s="933"/>
      <c r="T288" s="933"/>
    </row>
    <row r="289" spans="1:20" ht="12.75">
      <c r="A289" s="944" t="s">
        <v>697</v>
      </c>
      <c r="B289" s="944" t="s">
        <v>698</v>
      </c>
      <c r="C289" s="967">
        <f>IF(((D9+D56)-(E9+E56))&gt;0,((D9+D56)-(E9+E56)),0)</f>
        <v>0</v>
      </c>
      <c r="D289" s="967">
        <f>IF(((E9+E56)-(F9+F56))&gt;0,((E9+E56)-(F9+F56)),0)</f>
        <v>0</v>
      </c>
      <c r="E289" s="967">
        <f>IF(((F9+F56)-(G9+G56))&gt;0,((F9+F56)-(G9+G56)),0)</f>
        <v>0</v>
      </c>
      <c r="F289" s="967">
        <f>IF(((G9+G56)-(H9+H56))&gt;0,((G9+G56)-(H9+H56)),0)</f>
        <v>0</v>
      </c>
      <c r="G289" s="967">
        <f>IF(((H9+H56)-(I9+I56))&gt;0,((H9+H56)-(I9+I56)),0)</f>
        <v>0</v>
      </c>
      <c r="H289" s="932"/>
      <c r="I289" s="933"/>
      <c r="J289" s="933"/>
      <c r="K289" s="933"/>
      <c r="L289" s="933"/>
      <c r="M289" s="933"/>
      <c r="N289" s="933"/>
      <c r="O289" s="933"/>
      <c r="P289" s="933"/>
      <c r="Q289" s="933"/>
      <c r="R289" s="933"/>
      <c r="S289" s="933"/>
      <c r="T289" s="933"/>
    </row>
    <row r="290" spans="1:20" ht="12.75">
      <c r="A290" s="944" t="s">
        <v>699</v>
      </c>
      <c r="B290" s="944" t="s">
        <v>700</v>
      </c>
      <c r="C290" s="967">
        <f>IF((D58-E58)&gt;0,(D58-E58),0)</f>
        <v>3558</v>
      </c>
      <c r="D290" s="967">
        <f>IF((E58-F58)&gt;0,(E58-F58),0)</f>
        <v>10034</v>
      </c>
      <c r="E290" s="967">
        <f>IF((F58-G58)&gt;0,(F58-G58),0)</f>
        <v>9463</v>
      </c>
      <c r="F290" s="967">
        <f>IF((G58-H58)&gt;0,(G58-H58),0)</f>
        <v>3672</v>
      </c>
      <c r="G290" s="967">
        <f>IF((H58-I58)&gt;0,(H58-I58),0)</f>
        <v>1369</v>
      </c>
      <c r="H290" s="932"/>
      <c r="I290" s="943"/>
      <c r="J290" s="933"/>
      <c r="K290" s="933"/>
      <c r="L290" s="933"/>
      <c r="M290" s="933"/>
      <c r="N290" s="933"/>
      <c r="O290" s="933"/>
      <c r="P290" s="933"/>
      <c r="Q290" s="933"/>
      <c r="R290" s="933"/>
      <c r="S290" s="933"/>
      <c r="T290" s="933"/>
    </row>
    <row r="291" spans="1:20" ht="12.75">
      <c r="A291" s="944">
        <v>4</v>
      </c>
      <c r="B291" s="944" t="s">
        <v>701</v>
      </c>
      <c r="C291" s="967">
        <f>+C292+C293</f>
        <v>7567</v>
      </c>
      <c r="D291" s="967">
        <f>+D292+D293</f>
        <v>4833</v>
      </c>
      <c r="E291" s="967">
        <f>+E292+E293</f>
        <v>3571</v>
      </c>
      <c r="F291" s="967">
        <f>+F292+F293</f>
        <v>1828</v>
      </c>
      <c r="G291" s="967">
        <f>+G292+G293</f>
        <v>2658</v>
      </c>
      <c r="H291" s="932"/>
      <c r="I291" s="933"/>
      <c r="J291" s="933"/>
      <c r="K291" s="933"/>
      <c r="L291" s="933"/>
      <c r="M291" s="933"/>
      <c r="N291" s="933"/>
      <c r="O291" s="933"/>
      <c r="P291" s="933"/>
      <c r="Q291" s="933"/>
      <c r="R291" s="933"/>
      <c r="S291" s="933"/>
      <c r="T291" s="933"/>
    </row>
    <row r="292" spans="1:20" ht="12.75">
      <c r="A292" s="944">
        <v>5</v>
      </c>
      <c r="B292" s="944" t="s">
        <v>1330</v>
      </c>
      <c r="C292" s="967">
        <f>D34</f>
        <v>4228</v>
      </c>
      <c r="D292" s="967">
        <f>E34</f>
        <v>1444</v>
      </c>
      <c r="E292" s="967">
        <f>F34</f>
        <v>963</v>
      </c>
      <c r="F292" s="967">
        <f>G34</f>
        <v>527</v>
      </c>
      <c r="G292" s="967">
        <f>H34</f>
        <v>666</v>
      </c>
      <c r="H292" s="932"/>
      <c r="I292" s="933"/>
      <c r="J292" s="933"/>
      <c r="K292" s="933"/>
      <c r="L292" s="933"/>
      <c r="M292" s="933"/>
      <c r="N292" s="933"/>
      <c r="O292" s="933"/>
      <c r="P292" s="933"/>
      <c r="Q292" s="933"/>
      <c r="R292" s="933"/>
      <c r="S292" s="933"/>
      <c r="T292" s="933"/>
    </row>
    <row r="293" spans="1:20" ht="12.75">
      <c r="A293" s="944">
        <v>6</v>
      </c>
      <c r="B293" s="944" t="s">
        <v>702</v>
      </c>
      <c r="C293" s="967">
        <f>+C330</f>
        <v>3339</v>
      </c>
      <c r="D293" s="967">
        <f>+D330</f>
        <v>3389</v>
      </c>
      <c r="E293" s="967">
        <f>+E330</f>
        <v>2608</v>
      </c>
      <c r="F293" s="967">
        <f>+F330</f>
        <v>1301</v>
      </c>
      <c r="G293" s="967">
        <f>+G330</f>
        <v>1992</v>
      </c>
      <c r="H293" s="932"/>
      <c r="I293" s="933"/>
      <c r="J293" s="933"/>
      <c r="K293" s="933"/>
      <c r="L293" s="933"/>
      <c r="M293" s="933"/>
      <c r="N293" s="933"/>
      <c r="O293" s="933"/>
      <c r="P293" s="933"/>
      <c r="Q293" s="933"/>
      <c r="R293" s="933"/>
      <c r="S293" s="933"/>
      <c r="T293" s="933"/>
    </row>
    <row r="294" spans="1:20" ht="12.75">
      <c r="A294" s="932"/>
      <c r="B294" s="932"/>
      <c r="C294" s="932"/>
      <c r="D294" s="942"/>
      <c r="E294" s="942"/>
      <c r="F294" s="942"/>
      <c r="G294" s="942"/>
      <c r="H294" s="932"/>
      <c r="I294" s="933"/>
      <c r="J294" s="933"/>
      <c r="K294" s="933"/>
      <c r="L294" s="933"/>
      <c r="M294" s="933"/>
      <c r="N294" s="933"/>
      <c r="O294" s="933"/>
      <c r="P294" s="933"/>
      <c r="Q294" s="933"/>
      <c r="R294" s="933"/>
      <c r="S294" s="933"/>
      <c r="T294" s="933"/>
    </row>
    <row r="295" spans="1:20" ht="12.75">
      <c r="A295" s="932"/>
      <c r="B295" s="932"/>
      <c r="C295" s="942"/>
      <c r="D295" s="932"/>
      <c r="E295" s="942"/>
      <c r="F295" s="942"/>
      <c r="G295" s="942"/>
      <c r="H295" s="932"/>
      <c r="I295" s="933"/>
      <c r="J295" s="933"/>
      <c r="K295" s="933"/>
      <c r="L295" s="933"/>
      <c r="M295" s="933"/>
      <c r="N295" s="933"/>
      <c r="O295" s="933"/>
      <c r="P295" s="933"/>
      <c r="Q295" s="933"/>
      <c r="R295" s="933"/>
      <c r="S295" s="933"/>
      <c r="T295" s="933"/>
    </row>
    <row r="296" spans="1:20" ht="12.75">
      <c r="A296" s="932"/>
      <c r="B296" s="932"/>
      <c r="C296" s="942"/>
      <c r="D296" s="942"/>
      <c r="E296" s="942"/>
      <c r="F296" s="942"/>
      <c r="G296" s="942"/>
      <c r="H296" s="932"/>
      <c r="I296" s="933"/>
      <c r="J296" s="933"/>
      <c r="K296" s="933"/>
      <c r="L296" s="933"/>
      <c r="M296" s="933"/>
      <c r="N296" s="933"/>
      <c r="O296" s="933"/>
      <c r="P296" s="933"/>
      <c r="Q296" s="933"/>
      <c r="R296" s="933"/>
      <c r="S296" s="933"/>
      <c r="T296" s="933"/>
    </row>
    <row r="297" spans="1:20" ht="12.75">
      <c r="A297" s="932"/>
      <c r="B297" s="932" t="s">
        <v>802</v>
      </c>
      <c r="C297" s="932"/>
      <c r="D297" s="932"/>
      <c r="E297" s="932"/>
      <c r="F297" s="932"/>
      <c r="G297" s="932"/>
      <c r="H297" s="932"/>
      <c r="I297" s="933"/>
      <c r="J297" s="933"/>
      <c r="K297" s="933"/>
      <c r="L297" s="933"/>
      <c r="M297" s="933"/>
      <c r="N297" s="933"/>
      <c r="O297" s="933"/>
      <c r="P297" s="933"/>
      <c r="Q297" s="933"/>
      <c r="R297" s="933"/>
      <c r="S297" s="933"/>
      <c r="T297" s="933"/>
    </row>
    <row r="298" spans="1:20" ht="12.75">
      <c r="A298" s="932" t="s">
        <v>703</v>
      </c>
      <c r="B298" s="932" t="s">
        <v>704</v>
      </c>
      <c r="C298" s="932"/>
      <c r="D298" s="932"/>
      <c r="E298" s="932"/>
      <c r="F298" s="932"/>
      <c r="G298" s="932"/>
      <c r="H298" s="932"/>
      <c r="I298" s="933"/>
      <c r="J298" s="933"/>
      <c r="K298" s="933"/>
      <c r="L298" s="933"/>
      <c r="M298" s="933"/>
      <c r="N298" s="933"/>
      <c r="O298" s="933"/>
      <c r="P298" s="933"/>
      <c r="Q298" s="933"/>
      <c r="R298" s="933"/>
      <c r="S298" s="933"/>
      <c r="T298" s="933"/>
    </row>
    <row r="299" spans="1:20" ht="12.75">
      <c r="A299" s="932"/>
      <c r="B299" s="932"/>
      <c r="C299" s="932" t="str">
        <f>+B3</f>
        <v>U 000 din</v>
      </c>
      <c r="D299" s="932"/>
      <c r="E299" s="932"/>
      <c r="F299" s="932"/>
      <c r="G299" s="932"/>
      <c r="H299" s="932"/>
      <c r="I299" s="933"/>
      <c r="J299" s="933"/>
      <c r="K299" s="933"/>
      <c r="L299" s="933"/>
      <c r="M299" s="933"/>
      <c r="N299" s="933"/>
      <c r="O299" s="933"/>
      <c r="P299" s="933"/>
      <c r="Q299" s="933"/>
      <c r="R299" s="933"/>
      <c r="S299" s="933"/>
      <c r="T299" s="933"/>
    </row>
    <row r="300" spans="1:20" ht="12.75">
      <c r="A300" s="944" t="s">
        <v>652</v>
      </c>
      <c r="B300" s="944" t="s">
        <v>1441</v>
      </c>
      <c r="C300" s="944"/>
      <c r="D300" s="944" t="s">
        <v>419</v>
      </c>
      <c r="E300" s="944"/>
      <c r="F300" s="944"/>
      <c r="G300" s="944"/>
      <c r="H300" s="932"/>
      <c r="I300" s="933"/>
      <c r="J300" s="933"/>
      <c r="K300" s="933"/>
      <c r="L300" s="933"/>
      <c r="M300" s="933"/>
      <c r="N300" s="933"/>
      <c r="O300" s="933"/>
      <c r="P300" s="933"/>
      <c r="Q300" s="933"/>
      <c r="R300" s="933"/>
      <c r="S300" s="933"/>
      <c r="T300" s="933"/>
    </row>
    <row r="301" spans="1:20" ht="12.75">
      <c r="A301" s="944" t="s">
        <v>634</v>
      </c>
      <c r="B301" s="944"/>
      <c r="C301" s="944">
        <f>+$D$6</f>
        <v>2002</v>
      </c>
      <c r="D301" s="944">
        <f>+$E$6</f>
        <v>2001</v>
      </c>
      <c r="E301" s="944">
        <f>+$F$6</f>
        <v>2000</v>
      </c>
      <c r="F301" s="944">
        <f>+$G$6</f>
        <v>1999</v>
      </c>
      <c r="G301" s="944">
        <f>+$H$6</f>
        <v>1998</v>
      </c>
      <c r="H301" s="932"/>
      <c r="I301" s="933"/>
      <c r="J301" s="933"/>
      <c r="K301" s="933"/>
      <c r="L301" s="933"/>
      <c r="M301" s="933"/>
      <c r="N301" s="933"/>
      <c r="O301" s="933"/>
      <c r="P301" s="933"/>
      <c r="Q301" s="933"/>
      <c r="R301" s="933"/>
      <c r="S301" s="933"/>
      <c r="T301" s="933"/>
    </row>
    <row r="302" spans="1:20" ht="12.75">
      <c r="A302" s="944">
        <v>1</v>
      </c>
      <c r="B302" s="944">
        <f aca="true" t="shared" si="9" ref="B302:G302">A302+1</f>
        <v>2</v>
      </c>
      <c r="C302" s="944">
        <f t="shared" si="9"/>
        <v>3</v>
      </c>
      <c r="D302" s="944">
        <f t="shared" si="9"/>
        <v>4</v>
      </c>
      <c r="E302" s="944">
        <f t="shared" si="9"/>
        <v>5</v>
      </c>
      <c r="F302" s="944">
        <f t="shared" si="9"/>
        <v>6</v>
      </c>
      <c r="G302" s="944">
        <f t="shared" si="9"/>
        <v>7</v>
      </c>
      <c r="H302" s="932"/>
      <c r="I302" s="933"/>
      <c r="J302" s="933"/>
      <c r="K302" s="933"/>
      <c r="L302" s="933"/>
      <c r="M302" s="933"/>
      <c r="N302" s="933"/>
      <c r="O302" s="933"/>
      <c r="P302" s="933"/>
      <c r="Q302" s="933"/>
      <c r="R302" s="933"/>
      <c r="S302" s="933"/>
      <c r="T302" s="933"/>
    </row>
    <row r="303" spans="1:20" ht="12.75">
      <c r="A303" s="944">
        <v>1</v>
      </c>
      <c r="B303" s="944" t="s">
        <v>705</v>
      </c>
      <c r="C303" s="949">
        <f>SUM(D107:D115)</f>
        <v>13252</v>
      </c>
      <c r="D303" s="949">
        <f>SUM(E107:E115)</f>
        <v>7319</v>
      </c>
      <c r="E303" s="949">
        <f>SUM(F107:F115)</f>
        <v>4382</v>
      </c>
      <c r="F303" s="949">
        <f>SUM(G107:G115)</f>
        <v>2773</v>
      </c>
      <c r="G303" s="949">
        <f>SUM(H107:H115)</f>
        <v>1745</v>
      </c>
      <c r="H303" s="932"/>
      <c r="I303" s="933"/>
      <c r="J303" s="933"/>
      <c r="K303" s="933"/>
      <c r="L303" s="933"/>
      <c r="M303" s="933"/>
      <c r="N303" s="933"/>
      <c r="O303" s="933"/>
      <c r="P303" s="933"/>
      <c r="Q303" s="933"/>
      <c r="R303" s="933"/>
      <c r="S303" s="933"/>
      <c r="T303" s="933"/>
    </row>
    <row r="304" spans="1:20" ht="12.75">
      <c r="A304" s="944">
        <v>2</v>
      </c>
      <c r="B304" s="944" t="s">
        <v>706</v>
      </c>
      <c r="C304" s="949">
        <f>SUM(D104:D106)</f>
        <v>58</v>
      </c>
      <c r="D304" s="949">
        <f>SUM(E104:E106)</f>
        <v>163</v>
      </c>
      <c r="E304" s="949">
        <f>SUM(F104:F106)</f>
        <v>582</v>
      </c>
      <c r="F304" s="949">
        <f>SUM(G104:G106)</f>
        <v>650</v>
      </c>
      <c r="G304" s="949">
        <f>SUM(H104:H106)</f>
        <v>21</v>
      </c>
      <c r="H304" s="932"/>
      <c r="I304" s="933"/>
      <c r="J304" s="933"/>
      <c r="K304" s="933"/>
      <c r="L304" s="933"/>
      <c r="M304" s="933"/>
      <c r="N304" s="933"/>
      <c r="O304" s="933"/>
      <c r="P304" s="933"/>
      <c r="Q304" s="933"/>
      <c r="R304" s="933"/>
      <c r="S304" s="933"/>
      <c r="T304" s="933"/>
    </row>
    <row r="305" spans="1:20" ht="12.75">
      <c r="A305" s="944">
        <v>3</v>
      </c>
      <c r="B305" s="944" t="s">
        <v>707</v>
      </c>
      <c r="C305" s="949">
        <f>+D95</f>
        <v>4480</v>
      </c>
      <c r="D305" s="949">
        <f>+E95</f>
        <v>0</v>
      </c>
      <c r="E305" s="949">
        <f>+F95</f>
        <v>0</v>
      </c>
      <c r="F305" s="949">
        <f>+G95</f>
        <v>0</v>
      </c>
      <c r="G305" s="949">
        <f>+H95</f>
        <v>0</v>
      </c>
      <c r="H305" s="932"/>
      <c r="I305" s="933"/>
      <c r="J305" s="933"/>
      <c r="K305" s="933"/>
      <c r="L305" s="933"/>
      <c r="M305" s="933"/>
      <c r="N305" s="933"/>
      <c r="O305" s="933"/>
      <c r="P305" s="933"/>
      <c r="Q305" s="933"/>
      <c r="R305" s="933"/>
      <c r="S305" s="933"/>
      <c r="T305" s="933"/>
    </row>
    <row r="306" spans="1:20" ht="12.75">
      <c r="A306" s="944">
        <v>4</v>
      </c>
      <c r="B306" s="944" t="s">
        <v>406</v>
      </c>
      <c r="C306" s="949">
        <f>+D89</f>
        <v>0</v>
      </c>
      <c r="D306" s="949">
        <f>+E89</f>
        <v>0</v>
      </c>
      <c r="E306" s="949">
        <f>+F89</f>
        <v>0</v>
      </c>
      <c r="F306" s="949">
        <f>+G89</f>
        <v>0</v>
      </c>
      <c r="G306" s="949">
        <f>+H89</f>
        <v>0</v>
      </c>
      <c r="H306" s="932"/>
      <c r="I306" s="933"/>
      <c r="J306" s="933"/>
      <c r="K306" s="933"/>
      <c r="L306" s="933"/>
      <c r="M306" s="933"/>
      <c r="N306" s="933"/>
      <c r="O306" s="933"/>
      <c r="P306" s="933"/>
      <c r="Q306" s="933"/>
      <c r="R306" s="933"/>
      <c r="S306" s="933"/>
      <c r="T306" s="933"/>
    </row>
    <row r="307" spans="1:20" ht="12.75">
      <c r="A307" s="944">
        <v>5</v>
      </c>
      <c r="B307" s="944" t="s">
        <v>708</v>
      </c>
      <c r="C307" s="949">
        <f>+D71</f>
        <v>77921</v>
      </c>
      <c r="D307" s="949">
        <f>+E71</f>
        <v>67626</v>
      </c>
      <c r="E307" s="949">
        <f>+F71</f>
        <v>50252</v>
      </c>
      <c r="F307" s="949">
        <f>+G71</f>
        <v>23560</v>
      </c>
      <c r="G307" s="949">
        <f>+H71</f>
        <v>15696</v>
      </c>
      <c r="H307" s="932"/>
      <c r="I307" s="933"/>
      <c r="J307" s="933"/>
      <c r="K307" s="933"/>
      <c r="L307" s="933"/>
      <c r="M307" s="933"/>
      <c r="N307" s="933"/>
      <c r="O307" s="933"/>
      <c r="P307" s="933"/>
      <c r="Q307" s="933"/>
      <c r="R307" s="933"/>
      <c r="S307" s="933"/>
      <c r="T307" s="933"/>
    </row>
    <row r="308" spans="1:20" ht="12.75">
      <c r="A308" s="944">
        <v>6</v>
      </c>
      <c r="B308" s="944" t="s">
        <v>709</v>
      </c>
      <c r="C308" s="949">
        <f>+D61</f>
        <v>95711</v>
      </c>
      <c r="D308" s="949">
        <f>+E61</f>
        <v>75108</v>
      </c>
      <c r="E308" s="949">
        <f>+F61</f>
        <v>55216</v>
      </c>
      <c r="F308" s="949">
        <f>+G61</f>
        <v>26983</v>
      </c>
      <c r="G308" s="949">
        <f>+H61</f>
        <v>17462</v>
      </c>
      <c r="H308" s="932"/>
      <c r="I308" s="933"/>
      <c r="J308" s="933"/>
      <c r="K308" s="933"/>
      <c r="L308" s="933"/>
      <c r="M308" s="933"/>
      <c r="N308" s="933"/>
      <c r="O308" s="933"/>
      <c r="P308" s="933"/>
      <c r="Q308" s="933"/>
      <c r="R308" s="933"/>
      <c r="S308" s="933"/>
      <c r="T308" s="933"/>
    </row>
    <row r="309" spans="1:20" ht="12.75">
      <c r="A309" s="944">
        <v>1</v>
      </c>
      <c r="B309" s="944" t="s">
        <v>710</v>
      </c>
      <c r="C309" s="972">
        <f>+D61/E61</f>
        <v>1.2743116578793205</v>
      </c>
      <c r="D309" s="972">
        <f>+E61/F61</f>
        <v>1.3602578962619531</v>
      </c>
      <c r="E309" s="972">
        <f>+F61/G61</f>
        <v>2.0463254641811512</v>
      </c>
      <c r="F309" s="972">
        <f>+G61/H61</f>
        <v>1.5452410949490323</v>
      </c>
      <c r="G309" s="972">
        <f>+H61/I61</f>
        <v>1.5277340332458442</v>
      </c>
      <c r="H309" s="932"/>
      <c r="I309" s="933"/>
      <c r="J309" s="933"/>
      <c r="K309" s="933"/>
      <c r="L309" s="933"/>
      <c r="M309" s="933"/>
      <c r="N309" s="933"/>
      <c r="O309" s="933"/>
      <c r="P309" s="933"/>
      <c r="Q309" s="933"/>
      <c r="R309" s="933"/>
      <c r="S309" s="933"/>
      <c r="T309" s="933"/>
    </row>
    <row r="310" spans="1:20" ht="12.75">
      <c r="A310" s="944">
        <v>2</v>
      </c>
      <c r="B310" s="944" t="s">
        <v>711</v>
      </c>
      <c r="C310" s="973">
        <f>+Ulaz!C223</f>
        <v>1.2</v>
      </c>
      <c r="D310" s="973">
        <f>+Ulaz!D223</f>
        <v>1.45</v>
      </c>
      <c r="E310" s="973">
        <f>+Ulaz!E223</f>
        <v>2.2</v>
      </c>
      <c r="F310" s="973">
        <f>+Ulaz!F223</f>
        <v>1.15</v>
      </c>
      <c r="G310" s="973">
        <f>+Ulaz!G223</f>
        <v>2.3</v>
      </c>
      <c r="H310" s="932"/>
      <c r="I310" s="933"/>
      <c r="J310" s="933"/>
      <c r="K310" s="933"/>
      <c r="L310" s="933"/>
      <c r="M310" s="933"/>
      <c r="N310" s="933"/>
      <c r="O310" s="933"/>
      <c r="P310" s="933"/>
      <c r="Q310" s="933"/>
      <c r="R310" s="933"/>
      <c r="S310" s="933"/>
      <c r="T310" s="933"/>
    </row>
    <row r="311" spans="1:20" ht="12.75">
      <c r="A311" s="944">
        <v>3</v>
      </c>
      <c r="B311" s="944" t="s">
        <v>712</v>
      </c>
      <c r="C311" s="972">
        <f>+C309/C310</f>
        <v>1.0619263815661004</v>
      </c>
      <c r="D311" s="972">
        <f>+D309/D310</f>
        <v>0.9381088939737608</v>
      </c>
      <c r="E311" s="972">
        <f>+E309/E310</f>
        <v>0.9301479382641595</v>
      </c>
      <c r="F311" s="972">
        <f>+F309/F310</f>
        <v>1.3436879086513325</v>
      </c>
      <c r="G311" s="972">
        <f>+G309/G310</f>
        <v>0.6642321883677584</v>
      </c>
      <c r="H311" s="932"/>
      <c r="I311" s="933"/>
      <c r="J311" s="933"/>
      <c r="K311" s="933"/>
      <c r="L311" s="933"/>
      <c r="M311" s="933"/>
      <c r="N311" s="933"/>
      <c r="O311" s="933"/>
      <c r="P311" s="933"/>
      <c r="Q311" s="933"/>
      <c r="R311" s="933"/>
      <c r="S311" s="933"/>
      <c r="T311" s="933"/>
    </row>
    <row r="312" spans="1:20" ht="12.75">
      <c r="A312" s="932"/>
      <c r="B312" s="932"/>
      <c r="C312" s="932"/>
      <c r="D312" s="932"/>
      <c r="E312" s="932"/>
      <c r="F312" s="932"/>
      <c r="G312" s="932"/>
      <c r="H312" s="932"/>
      <c r="I312" s="933"/>
      <c r="J312" s="933"/>
      <c r="K312" s="933"/>
      <c r="L312" s="933"/>
      <c r="M312" s="933"/>
      <c r="N312" s="933"/>
      <c r="O312" s="933"/>
      <c r="P312" s="933"/>
      <c r="Q312" s="933"/>
      <c r="R312" s="933"/>
      <c r="S312" s="933"/>
      <c r="T312" s="933"/>
    </row>
    <row r="313" spans="1:20" ht="12.75">
      <c r="A313" s="932"/>
      <c r="B313" s="932"/>
      <c r="C313" s="932"/>
      <c r="D313" s="932"/>
      <c r="E313" s="932"/>
      <c r="F313" s="932"/>
      <c r="G313" s="932"/>
      <c r="H313" s="932"/>
      <c r="I313" s="933"/>
      <c r="J313" s="933"/>
      <c r="K313" s="933"/>
      <c r="L313" s="933"/>
      <c r="M313" s="933"/>
      <c r="N313" s="933"/>
      <c r="O313" s="933"/>
      <c r="P313" s="933"/>
      <c r="Q313" s="933"/>
      <c r="R313" s="933"/>
      <c r="S313" s="933"/>
      <c r="T313" s="933"/>
    </row>
    <row r="314" spans="1:20" ht="12.75">
      <c r="A314" s="932"/>
      <c r="B314" s="932" t="s">
        <v>802</v>
      </c>
      <c r="C314" s="932"/>
      <c r="D314" s="932"/>
      <c r="E314" s="932"/>
      <c r="F314" s="932"/>
      <c r="G314" s="932"/>
      <c r="H314" s="932"/>
      <c r="I314" s="933"/>
      <c r="J314" s="933"/>
      <c r="K314" s="933"/>
      <c r="L314" s="933"/>
      <c r="M314" s="933"/>
      <c r="N314" s="933"/>
      <c r="O314" s="933"/>
      <c r="P314" s="933"/>
      <c r="Q314" s="933"/>
      <c r="R314" s="933"/>
      <c r="S314" s="933"/>
      <c r="T314" s="933"/>
    </row>
    <row r="315" spans="1:20" ht="12.75">
      <c r="A315" s="932" t="s">
        <v>713</v>
      </c>
      <c r="B315" s="932" t="s">
        <v>714</v>
      </c>
      <c r="C315" s="932"/>
      <c r="D315" s="932"/>
      <c r="E315" s="932"/>
      <c r="F315" s="932"/>
      <c r="G315" s="932"/>
      <c r="H315" s="932"/>
      <c r="I315" s="933"/>
      <c r="J315" s="933"/>
      <c r="K315" s="933"/>
      <c r="L315" s="933"/>
      <c r="M315" s="933"/>
      <c r="N315" s="933"/>
      <c r="O315" s="933"/>
      <c r="P315" s="933"/>
      <c r="Q315" s="933"/>
      <c r="R315" s="933"/>
      <c r="S315" s="933"/>
      <c r="T315" s="933"/>
    </row>
    <row r="316" spans="1:20" ht="12.75">
      <c r="A316" s="932"/>
      <c r="B316" s="932"/>
      <c r="C316" s="932" t="str">
        <f>+B3</f>
        <v>U 000 din</v>
      </c>
      <c r="D316" s="932"/>
      <c r="E316" s="932"/>
      <c r="F316" s="932"/>
      <c r="G316" s="932"/>
      <c r="H316" s="932"/>
      <c r="I316" s="933"/>
      <c r="J316" s="933"/>
      <c r="K316" s="933"/>
      <c r="L316" s="933"/>
      <c r="M316" s="933"/>
      <c r="N316" s="933"/>
      <c r="O316" s="933"/>
      <c r="P316" s="933"/>
      <c r="Q316" s="933"/>
      <c r="R316" s="933"/>
      <c r="S316" s="933"/>
      <c r="T316" s="933"/>
    </row>
    <row r="317" spans="1:20" ht="12.75">
      <c r="A317" s="944" t="s">
        <v>652</v>
      </c>
      <c r="B317" s="944" t="s">
        <v>1441</v>
      </c>
      <c r="C317" s="944"/>
      <c r="D317" s="944" t="s">
        <v>419</v>
      </c>
      <c r="E317" s="944"/>
      <c r="F317" s="944"/>
      <c r="G317" s="944"/>
      <c r="H317" s="932"/>
      <c r="I317" s="933"/>
      <c r="J317" s="933"/>
      <c r="K317" s="933"/>
      <c r="L317" s="933"/>
      <c r="M317" s="933"/>
      <c r="N317" s="933"/>
      <c r="O317" s="933"/>
      <c r="P317" s="933"/>
      <c r="Q317" s="933"/>
      <c r="R317" s="933"/>
      <c r="S317" s="933"/>
      <c r="T317" s="933"/>
    </row>
    <row r="318" spans="1:20" ht="12.75">
      <c r="A318" s="944" t="s">
        <v>634</v>
      </c>
      <c r="B318" s="944"/>
      <c r="C318" s="944">
        <f>+$D$6</f>
        <v>2002</v>
      </c>
      <c r="D318" s="944">
        <f>+$E$6</f>
        <v>2001</v>
      </c>
      <c r="E318" s="944">
        <f>+$F$6</f>
        <v>2000</v>
      </c>
      <c r="F318" s="944">
        <f>+$G$6</f>
        <v>1999</v>
      </c>
      <c r="G318" s="944">
        <f>+$H$6</f>
        <v>1998</v>
      </c>
      <c r="H318" s="932"/>
      <c r="I318" s="933"/>
      <c r="J318" s="933"/>
      <c r="K318" s="933"/>
      <c r="L318" s="933"/>
      <c r="M318" s="933"/>
      <c r="N318" s="933"/>
      <c r="O318" s="933"/>
      <c r="P318" s="933"/>
      <c r="Q318" s="933"/>
      <c r="R318" s="933"/>
      <c r="S318" s="933"/>
      <c r="T318" s="933"/>
    </row>
    <row r="319" spans="1:20" ht="12.75">
      <c r="A319" s="944">
        <v>1</v>
      </c>
      <c r="B319" s="944">
        <f aca="true" t="shared" si="10" ref="B319:G319">A319+1</f>
        <v>2</v>
      </c>
      <c r="C319" s="944">
        <f t="shared" si="10"/>
        <v>3</v>
      </c>
      <c r="D319" s="944">
        <f t="shared" si="10"/>
        <v>4</v>
      </c>
      <c r="E319" s="944">
        <f t="shared" si="10"/>
        <v>5</v>
      </c>
      <c r="F319" s="944">
        <f t="shared" si="10"/>
        <v>6</v>
      </c>
      <c r="G319" s="944">
        <f t="shared" si="10"/>
        <v>7</v>
      </c>
      <c r="H319" s="932"/>
      <c r="I319" s="933"/>
      <c r="J319" s="933"/>
      <c r="K319" s="933"/>
      <c r="L319" s="933"/>
      <c r="M319" s="933"/>
      <c r="N319" s="933"/>
      <c r="O319" s="933"/>
      <c r="P319" s="933"/>
      <c r="Q319" s="933"/>
      <c r="R319" s="933"/>
      <c r="S319" s="933"/>
      <c r="T319" s="933"/>
    </row>
    <row r="320" spans="1:20" ht="12.75">
      <c r="A320" s="944">
        <v>1</v>
      </c>
      <c r="B320" s="944" t="s">
        <v>194</v>
      </c>
      <c r="C320" s="949">
        <f>+D10</f>
        <v>46224</v>
      </c>
      <c r="D320" s="949">
        <f>+E10</f>
        <v>37741</v>
      </c>
      <c r="E320" s="949">
        <f>+F10</f>
        <v>31663</v>
      </c>
      <c r="F320" s="949">
        <f>+G10</f>
        <v>16177</v>
      </c>
      <c r="G320" s="949">
        <f>+H10</f>
        <v>11155</v>
      </c>
      <c r="H320" s="932"/>
      <c r="I320" s="933"/>
      <c r="J320" s="933"/>
      <c r="K320" s="933"/>
      <c r="L320" s="933"/>
      <c r="M320" s="933"/>
      <c r="N320" s="933"/>
      <c r="O320" s="933"/>
      <c r="P320" s="933"/>
      <c r="Q320" s="933"/>
      <c r="R320" s="933"/>
      <c r="S320" s="933"/>
      <c r="T320" s="933"/>
    </row>
    <row r="321" spans="1:20" ht="12.75">
      <c r="A321" s="944">
        <f>+A320+1</f>
        <v>2</v>
      </c>
      <c r="B321" s="944" t="s">
        <v>715</v>
      </c>
      <c r="C321" s="949">
        <f>+D34</f>
        <v>4228</v>
      </c>
      <c r="D321" s="949">
        <f>+E34</f>
        <v>1444</v>
      </c>
      <c r="E321" s="949">
        <f>+F34</f>
        <v>963</v>
      </c>
      <c r="F321" s="949">
        <f>+G34</f>
        <v>527</v>
      </c>
      <c r="G321" s="949">
        <f>+H34</f>
        <v>666</v>
      </c>
      <c r="H321" s="932"/>
      <c r="I321" s="933"/>
      <c r="J321" s="933"/>
      <c r="K321" s="933"/>
      <c r="L321" s="933"/>
      <c r="M321" s="933"/>
      <c r="N321" s="933"/>
      <c r="O321" s="933"/>
      <c r="P321" s="933"/>
      <c r="Q321" s="933"/>
      <c r="R321" s="933"/>
      <c r="S321" s="933"/>
      <c r="T321" s="933"/>
    </row>
    <row r="322" spans="1:20" ht="12.75">
      <c r="A322" s="944">
        <f aca="true" t="shared" si="11" ref="A322:A330">+A321+1</f>
        <v>3</v>
      </c>
      <c r="B322" s="944" t="s">
        <v>788</v>
      </c>
      <c r="C322" s="949">
        <f>+D9+D56</f>
        <v>0</v>
      </c>
      <c r="D322" s="949">
        <f>+E9+E56</f>
        <v>0</v>
      </c>
      <c r="E322" s="949">
        <f>+F9+F56</f>
        <v>0</v>
      </c>
      <c r="F322" s="949">
        <f>+G9+G56</f>
        <v>0</v>
      </c>
      <c r="G322" s="949">
        <f>+H9+H56</f>
        <v>0</v>
      </c>
      <c r="H322" s="932"/>
      <c r="I322" s="933"/>
      <c r="J322" s="933"/>
      <c r="K322" s="933"/>
      <c r="L322" s="933"/>
      <c r="M322" s="933"/>
      <c r="N322" s="933"/>
      <c r="O322" s="933"/>
      <c r="P322" s="933"/>
      <c r="Q322" s="933"/>
      <c r="R322" s="933"/>
      <c r="S322" s="933"/>
      <c r="T322" s="933"/>
    </row>
    <row r="323" spans="1:20" ht="12.75">
      <c r="A323" s="944">
        <f t="shared" si="11"/>
        <v>4</v>
      </c>
      <c r="B323" s="944" t="s">
        <v>1048</v>
      </c>
      <c r="C323" s="949">
        <f>+D58</f>
        <v>28610</v>
      </c>
      <c r="D323" s="949">
        <f>+E58</f>
        <v>25052</v>
      </c>
      <c r="E323" s="949">
        <f>+F58</f>
        <v>15018</v>
      </c>
      <c r="F323" s="949">
        <f>+G58</f>
        <v>5555</v>
      </c>
      <c r="G323" s="949">
        <f>+H58</f>
        <v>1883</v>
      </c>
      <c r="H323" s="932"/>
      <c r="I323" s="933"/>
      <c r="J323" s="933"/>
      <c r="K323" s="933"/>
      <c r="L323" s="933"/>
      <c r="M323" s="933"/>
      <c r="N323" s="933"/>
      <c r="O323" s="933"/>
      <c r="P323" s="933"/>
      <c r="Q323" s="933"/>
      <c r="R323" s="933"/>
      <c r="S323" s="933"/>
      <c r="T323" s="933"/>
    </row>
    <row r="324" spans="1:20" ht="12.75">
      <c r="A324" s="944">
        <f t="shared" si="11"/>
        <v>5</v>
      </c>
      <c r="B324" s="966" t="s">
        <v>716</v>
      </c>
      <c r="C324" s="974">
        <f>+D117-D62</f>
        <v>0</v>
      </c>
      <c r="D324" s="974">
        <f>+E117-E62</f>
        <v>0</v>
      </c>
      <c r="E324" s="974">
        <f>+F117-F62</f>
        <v>0</v>
      </c>
      <c r="F324" s="974">
        <f>+G117-G62</f>
        <v>0</v>
      </c>
      <c r="G324" s="974">
        <f>+H117-H62</f>
        <v>0</v>
      </c>
      <c r="H324" s="932"/>
      <c r="I324" s="933"/>
      <c r="J324" s="933"/>
      <c r="K324" s="933"/>
      <c r="L324" s="933"/>
      <c r="M324" s="933"/>
      <c r="N324" s="933"/>
      <c r="O324" s="933"/>
      <c r="P324" s="933"/>
      <c r="Q324" s="933"/>
      <c r="R324" s="933"/>
      <c r="S324" s="933"/>
      <c r="T324" s="933"/>
    </row>
    <row r="325" spans="1:20" ht="12.75">
      <c r="A325" s="944">
        <f t="shared" si="11"/>
        <v>6</v>
      </c>
      <c r="B325" s="944" t="s">
        <v>717</v>
      </c>
      <c r="C325" s="949">
        <f>SUM(C320:C324)</f>
        <v>79062</v>
      </c>
      <c r="D325" s="949">
        <f>SUM(D320:D324)</f>
        <v>64237</v>
      </c>
      <c r="E325" s="949">
        <f>SUM(E320:E324)</f>
        <v>47644</v>
      </c>
      <c r="F325" s="949">
        <f>SUM(F320:F324)</f>
        <v>22259</v>
      </c>
      <c r="G325" s="949">
        <f>SUM(G320:G324)</f>
        <v>13704</v>
      </c>
      <c r="H325" s="932"/>
      <c r="I325" s="933"/>
      <c r="J325" s="933"/>
      <c r="K325" s="933"/>
      <c r="L325" s="933"/>
      <c r="M325" s="933"/>
      <c r="N325" s="933"/>
      <c r="O325" s="933"/>
      <c r="P325" s="933"/>
      <c r="Q325" s="933"/>
      <c r="R325" s="933"/>
      <c r="S325" s="933"/>
      <c r="T325" s="933"/>
    </row>
    <row r="326" spans="1:20" ht="12.75">
      <c r="A326" s="944">
        <f t="shared" si="11"/>
        <v>7</v>
      </c>
      <c r="B326" s="944" t="s">
        <v>708</v>
      </c>
      <c r="C326" s="949">
        <f>+C307</f>
        <v>77921</v>
      </c>
      <c r="D326" s="949">
        <f>+D307</f>
        <v>67626</v>
      </c>
      <c r="E326" s="949">
        <f>+E307</f>
        <v>50252</v>
      </c>
      <c r="F326" s="949">
        <f>+F307</f>
        <v>23560</v>
      </c>
      <c r="G326" s="949">
        <f>+G307</f>
        <v>15696</v>
      </c>
      <c r="H326" s="932"/>
      <c r="I326" s="933"/>
      <c r="J326" s="933"/>
      <c r="K326" s="933"/>
      <c r="L326" s="933"/>
      <c r="M326" s="933"/>
      <c r="N326" s="933"/>
      <c r="O326" s="933"/>
      <c r="P326" s="933"/>
      <c r="Q326" s="933"/>
      <c r="R326" s="933"/>
      <c r="S326" s="933"/>
      <c r="T326" s="933"/>
    </row>
    <row r="327" spans="1:20" ht="12.75">
      <c r="A327" s="944">
        <f t="shared" si="11"/>
        <v>8</v>
      </c>
      <c r="B327" s="944" t="s">
        <v>406</v>
      </c>
      <c r="C327" s="949">
        <f>+C306</f>
        <v>0</v>
      </c>
      <c r="D327" s="949">
        <f>+D306</f>
        <v>0</v>
      </c>
      <c r="E327" s="949">
        <f>+E306</f>
        <v>0</v>
      </c>
      <c r="F327" s="949">
        <f>+F306</f>
        <v>0</v>
      </c>
      <c r="G327" s="949">
        <f>+G306</f>
        <v>0</v>
      </c>
      <c r="H327" s="932"/>
      <c r="I327" s="933"/>
      <c r="J327" s="933"/>
      <c r="K327" s="933"/>
      <c r="L327" s="933"/>
      <c r="M327" s="933"/>
      <c r="N327" s="933"/>
      <c r="O327" s="933"/>
      <c r="P327" s="933"/>
      <c r="Q327" s="933"/>
      <c r="R327" s="933"/>
      <c r="S327" s="933"/>
      <c r="T327" s="933"/>
    </row>
    <row r="328" spans="1:20" ht="12.75">
      <c r="A328" s="944">
        <f t="shared" si="11"/>
        <v>9</v>
      </c>
      <c r="B328" s="944" t="s">
        <v>79</v>
      </c>
      <c r="C328" s="949">
        <f>+C305</f>
        <v>4480</v>
      </c>
      <c r="D328" s="949">
        <f>+D305</f>
        <v>0</v>
      </c>
      <c r="E328" s="949">
        <f>+E305</f>
        <v>0</v>
      </c>
      <c r="F328" s="949">
        <f>+F305</f>
        <v>0</v>
      </c>
      <c r="G328" s="949">
        <f>+G305</f>
        <v>0</v>
      </c>
      <c r="H328" s="932"/>
      <c r="I328" s="933"/>
      <c r="J328" s="933"/>
      <c r="K328" s="933"/>
      <c r="L328" s="933"/>
      <c r="M328" s="933"/>
      <c r="N328" s="933"/>
      <c r="O328" s="933"/>
      <c r="P328" s="933"/>
      <c r="Q328" s="933"/>
      <c r="R328" s="933"/>
      <c r="S328" s="933"/>
      <c r="T328" s="933"/>
    </row>
    <row r="329" spans="1:20" ht="12.75">
      <c r="A329" s="944">
        <f t="shared" si="11"/>
        <v>10</v>
      </c>
      <c r="B329" s="944" t="s">
        <v>718</v>
      </c>
      <c r="C329" s="949">
        <f>C326+C327+C328</f>
        <v>82401</v>
      </c>
      <c r="D329" s="949">
        <f>D326+D327+D328</f>
        <v>67626</v>
      </c>
      <c r="E329" s="949">
        <f>E326+E327+E328</f>
        <v>50252</v>
      </c>
      <c r="F329" s="949">
        <f>F326+F327+F328</f>
        <v>23560</v>
      </c>
      <c r="G329" s="949">
        <f>G326+G327+G328</f>
        <v>15696</v>
      </c>
      <c r="H329" s="932"/>
      <c r="I329" s="933"/>
      <c r="J329" s="933"/>
      <c r="K329" s="933"/>
      <c r="L329" s="933"/>
      <c r="M329" s="933"/>
      <c r="N329" s="933"/>
      <c r="O329" s="933"/>
      <c r="P329" s="933"/>
      <c r="Q329" s="933"/>
      <c r="R329" s="933"/>
      <c r="S329" s="933"/>
      <c r="T329" s="933"/>
    </row>
    <row r="330" spans="1:20" ht="12.75">
      <c r="A330" s="944">
        <f t="shared" si="11"/>
        <v>11</v>
      </c>
      <c r="B330" s="944" t="s">
        <v>702</v>
      </c>
      <c r="C330" s="949">
        <f>C329-C325</f>
        <v>3339</v>
      </c>
      <c r="D330" s="949">
        <f>D329-D325</f>
        <v>3389</v>
      </c>
      <c r="E330" s="949">
        <f>E329-E325</f>
        <v>2608</v>
      </c>
      <c r="F330" s="949">
        <f>F329-F325</f>
        <v>1301</v>
      </c>
      <c r="G330" s="949">
        <f>G329-G325</f>
        <v>1992</v>
      </c>
      <c r="H330" s="932"/>
      <c r="I330" s="933"/>
      <c r="J330" s="933"/>
      <c r="K330" s="933"/>
      <c r="L330" s="933"/>
      <c r="M330" s="933"/>
      <c r="N330" s="933"/>
      <c r="O330" s="933"/>
      <c r="P330" s="933"/>
      <c r="Q330" s="933"/>
      <c r="R330" s="933"/>
      <c r="S330" s="933"/>
      <c r="T330" s="933"/>
    </row>
    <row r="331" spans="1:20" ht="12.75">
      <c r="A331" s="932"/>
      <c r="B331" s="932"/>
      <c r="C331" s="932"/>
      <c r="D331" s="932"/>
      <c r="E331" s="932"/>
      <c r="F331" s="932"/>
      <c r="G331" s="932"/>
      <c r="H331" s="932"/>
      <c r="I331" s="933"/>
      <c r="J331" s="933"/>
      <c r="K331" s="933"/>
      <c r="L331" s="933"/>
      <c r="M331" s="933"/>
      <c r="N331" s="933"/>
      <c r="O331" s="933"/>
      <c r="P331" s="933"/>
      <c r="Q331" s="933"/>
      <c r="R331" s="933"/>
      <c r="S331" s="933"/>
      <c r="T331" s="933"/>
    </row>
    <row r="332" spans="1:20" ht="12.75">
      <c r="A332" s="932"/>
      <c r="B332" s="932" t="s">
        <v>802</v>
      </c>
      <c r="C332" s="932"/>
      <c r="D332" s="932"/>
      <c r="E332" s="932"/>
      <c r="F332" s="932"/>
      <c r="G332" s="932"/>
      <c r="H332" s="932"/>
      <c r="I332" s="933"/>
      <c r="J332" s="933"/>
      <c r="K332" s="933"/>
      <c r="L332" s="933"/>
      <c r="M332" s="933"/>
      <c r="N332" s="933"/>
      <c r="O332" s="933"/>
      <c r="P332" s="933"/>
      <c r="Q332" s="933"/>
      <c r="R332" s="933"/>
      <c r="S332" s="933"/>
      <c r="T332" s="933"/>
    </row>
    <row r="333" spans="1:20" ht="12.75">
      <c r="A333" s="932" t="s">
        <v>719</v>
      </c>
      <c r="B333" s="932" t="s">
        <v>1305</v>
      </c>
      <c r="C333" s="932"/>
      <c r="D333" s="932"/>
      <c r="E333" s="932"/>
      <c r="F333" s="932"/>
      <c r="G333" s="932"/>
      <c r="H333" s="932"/>
      <c r="I333" s="933"/>
      <c r="J333" s="933"/>
      <c r="K333" s="933"/>
      <c r="L333" s="933"/>
      <c r="M333" s="933"/>
      <c r="N333" s="933"/>
      <c r="O333" s="933"/>
      <c r="P333" s="933"/>
      <c r="Q333" s="933"/>
      <c r="R333" s="933"/>
      <c r="S333" s="933"/>
      <c r="T333" s="933"/>
    </row>
    <row r="334" spans="1:20" ht="12.75">
      <c r="A334" s="932"/>
      <c r="B334" s="932"/>
      <c r="C334" s="932" t="str">
        <f>+B3</f>
        <v>U 000 din</v>
      </c>
      <c r="D334" s="932"/>
      <c r="E334" s="932"/>
      <c r="F334" s="932"/>
      <c r="G334" s="932"/>
      <c r="H334" s="932"/>
      <c r="I334" s="933"/>
      <c r="J334" s="933"/>
      <c r="K334" s="933"/>
      <c r="L334" s="933"/>
      <c r="M334" s="933"/>
      <c r="N334" s="933"/>
      <c r="O334" s="933"/>
      <c r="P334" s="933"/>
      <c r="Q334" s="933"/>
      <c r="R334" s="933"/>
      <c r="S334" s="933"/>
      <c r="T334" s="933"/>
    </row>
    <row r="335" spans="1:20" ht="12.75">
      <c r="A335" s="944" t="s">
        <v>652</v>
      </c>
      <c r="B335" s="944" t="s">
        <v>1441</v>
      </c>
      <c r="C335" s="944"/>
      <c r="D335" s="944" t="s">
        <v>419</v>
      </c>
      <c r="E335" s="944"/>
      <c r="F335" s="944"/>
      <c r="G335" s="944"/>
      <c r="H335" s="932"/>
      <c r="I335" s="933"/>
      <c r="J335" s="933"/>
      <c r="K335" s="933"/>
      <c r="L335" s="933"/>
      <c r="M335" s="933"/>
      <c r="N335" s="933"/>
      <c r="O335" s="933"/>
      <c r="P335" s="933"/>
      <c r="Q335" s="933"/>
      <c r="R335" s="933"/>
      <c r="S335" s="933"/>
      <c r="T335" s="933"/>
    </row>
    <row r="336" spans="1:20" ht="12.75">
      <c r="A336" s="944" t="s">
        <v>634</v>
      </c>
      <c r="B336" s="944"/>
      <c r="C336" s="944">
        <f>+$D$6</f>
        <v>2002</v>
      </c>
      <c r="D336" s="944">
        <f>+$E$6</f>
        <v>2001</v>
      </c>
      <c r="E336" s="944">
        <f>+$F$6</f>
        <v>2000</v>
      </c>
      <c r="F336" s="944">
        <f>+$G$6</f>
        <v>1999</v>
      </c>
      <c r="G336" s="944">
        <f>+$H$6</f>
        <v>1998</v>
      </c>
      <c r="H336" s="932"/>
      <c r="I336" s="933"/>
      <c r="J336" s="933"/>
      <c r="K336" s="933"/>
      <c r="L336" s="933"/>
      <c r="M336" s="933"/>
      <c r="N336" s="933"/>
      <c r="O336" s="933"/>
      <c r="P336" s="933"/>
      <c r="Q336" s="933"/>
      <c r="R336" s="933"/>
      <c r="S336" s="933"/>
      <c r="T336" s="933"/>
    </row>
    <row r="337" spans="1:20" ht="12.75">
      <c r="A337" s="944">
        <v>1</v>
      </c>
      <c r="B337" s="944">
        <f aca="true" t="shared" si="12" ref="B337:G337">A337+1</f>
        <v>2</v>
      </c>
      <c r="C337" s="944">
        <f t="shared" si="12"/>
        <v>3</v>
      </c>
      <c r="D337" s="944">
        <f t="shared" si="12"/>
        <v>4</v>
      </c>
      <c r="E337" s="944">
        <f t="shared" si="12"/>
        <v>5</v>
      </c>
      <c r="F337" s="944">
        <f t="shared" si="12"/>
        <v>6</v>
      </c>
      <c r="G337" s="944">
        <f t="shared" si="12"/>
        <v>7</v>
      </c>
      <c r="H337" s="932"/>
      <c r="I337" s="933"/>
      <c r="J337" s="933"/>
      <c r="K337" s="933"/>
      <c r="L337" s="933"/>
      <c r="M337" s="933"/>
      <c r="N337" s="933"/>
      <c r="O337" s="933"/>
      <c r="P337" s="933"/>
      <c r="Q337" s="933"/>
      <c r="R337" s="933"/>
      <c r="S337" s="933"/>
      <c r="T337" s="933"/>
    </row>
    <row r="338" spans="1:20" ht="12.75">
      <c r="A338" s="944">
        <v>1</v>
      </c>
      <c r="B338" s="944" t="s">
        <v>720</v>
      </c>
      <c r="C338" s="949">
        <f>+D34</f>
        <v>4228</v>
      </c>
      <c r="D338" s="949">
        <f>+E34</f>
        <v>1444</v>
      </c>
      <c r="E338" s="949">
        <f>+F34</f>
        <v>963</v>
      </c>
      <c r="F338" s="949">
        <f>+G34</f>
        <v>527</v>
      </c>
      <c r="G338" s="949">
        <f>+H34</f>
        <v>666</v>
      </c>
      <c r="H338" s="932"/>
      <c r="I338" s="933"/>
      <c r="J338" s="933"/>
      <c r="K338" s="933"/>
      <c r="L338" s="933"/>
      <c r="M338" s="933"/>
      <c r="N338" s="933"/>
      <c r="O338" s="933"/>
      <c r="P338" s="933"/>
      <c r="Q338" s="933"/>
      <c r="R338" s="933"/>
      <c r="S338" s="933"/>
      <c r="T338" s="933"/>
    </row>
    <row r="339" spans="1:20" ht="12.75">
      <c r="A339" s="944">
        <v>2</v>
      </c>
      <c r="B339" s="944" t="s">
        <v>721</v>
      </c>
      <c r="C339" s="949">
        <f>+C291</f>
        <v>7567</v>
      </c>
      <c r="D339" s="949">
        <f>+D291</f>
        <v>4833</v>
      </c>
      <c r="E339" s="949">
        <f>+E291</f>
        <v>3571</v>
      </c>
      <c r="F339" s="949">
        <f>+F291</f>
        <v>1828</v>
      </c>
      <c r="G339" s="949">
        <f>+G291</f>
        <v>2658</v>
      </c>
      <c r="H339" s="932"/>
      <c r="I339" s="933"/>
      <c r="J339" s="933"/>
      <c r="K339" s="933"/>
      <c r="L339" s="933"/>
      <c r="M339" s="933"/>
      <c r="N339" s="933"/>
      <c r="O339" s="933"/>
      <c r="P339" s="933"/>
      <c r="Q339" s="933"/>
      <c r="R339" s="933"/>
      <c r="S339" s="933"/>
      <c r="T339" s="933"/>
    </row>
    <row r="340" spans="1:20" ht="12.75">
      <c r="A340" s="944">
        <v>3</v>
      </c>
      <c r="B340" s="944" t="s">
        <v>722</v>
      </c>
      <c r="C340" s="972">
        <f>C339/C338</f>
        <v>1.7897350993377483</v>
      </c>
      <c r="D340" s="972">
        <f>D339/D338</f>
        <v>3.346952908587258</v>
      </c>
      <c r="E340" s="972">
        <f>E339/E338</f>
        <v>3.7082035306334373</v>
      </c>
      <c r="F340" s="972">
        <f>F339/F338</f>
        <v>3.4686907020872866</v>
      </c>
      <c r="G340" s="972">
        <f>G339/G338</f>
        <v>3.990990990990991</v>
      </c>
      <c r="H340" s="932"/>
      <c r="I340" s="933"/>
      <c r="J340" s="933"/>
      <c r="K340" s="933"/>
      <c r="L340" s="933"/>
      <c r="M340" s="933"/>
      <c r="N340" s="933"/>
      <c r="O340" s="933"/>
      <c r="P340" s="933"/>
      <c r="Q340" s="933"/>
      <c r="R340" s="933"/>
      <c r="S340" s="933"/>
      <c r="T340" s="933"/>
    </row>
    <row r="341" spans="1:20" ht="12.75">
      <c r="A341" s="932"/>
      <c r="B341" s="932"/>
      <c r="C341" s="932"/>
      <c r="D341" s="932"/>
      <c r="E341" s="932"/>
      <c r="F341" s="932"/>
      <c r="G341" s="932"/>
      <c r="H341" s="932"/>
      <c r="I341" s="933"/>
      <c r="J341" s="933"/>
      <c r="K341" s="933"/>
      <c r="L341" s="933"/>
      <c r="M341" s="933"/>
      <c r="N341" s="933"/>
      <c r="O341" s="933"/>
      <c r="P341" s="933"/>
      <c r="Q341" s="933"/>
      <c r="R341" s="933"/>
      <c r="S341" s="933"/>
      <c r="T341" s="933"/>
    </row>
    <row r="342" spans="1:20" ht="12.75">
      <c r="A342" s="932"/>
      <c r="B342" s="932" t="s">
        <v>802</v>
      </c>
      <c r="C342" s="932"/>
      <c r="D342" s="932"/>
      <c r="E342" s="932"/>
      <c r="F342" s="932"/>
      <c r="G342" s="932"/>
      <c r="H342" s="932"/>
      <c r="I342" s="933"/>
      <c r="J342" s="933"/>
      <c r="K342" s="933"/>
      <c r="L342" s="933"/>
      <c r="M342" s="933"/>
      <c r="N342" s="933"/>
      <c r="O342" s="933"/>
      <c r="P342" s="933"/>
      <c r="Q342" s="933"/>
      <c r="R342" s="933"/>
      <c r="S342" s="933"/>
      <c r="T342" s="933"/>
    </row>
    <row r="343" spans="1:20" ht="12.75">
      <c r="A343" s="932" t="s">
        <v>723</v>
      </c>
      <c r="B343" s="932" t="s">
        <v>724</v>
      </c>
      <c r="C343" s="932"/>
      <c r="D343" s="932"/>
      <c r="E343" s="932"/>
      <c r="F343" s="932"/>
      <c r="G343" s="932"/>
      <c r="H343" s="932"/>
      <c r="I343" s="933"/>
      <c r="J343" s="933"/>
      <c r="K343" s="933"/>
      <c r="L343" s="933"/>
      <c r="M343" s="933"/>
      <c r="N343" s="933"/>
      <c r="O343" s="933"/>
      <c r="P343" s="933"/>
      <c r="Q343" s="933"/>
      <c r="R343" s="933"/>
      <c r="S343" s="933"/>
      <c r="T343" s="933"/>
    </row>
    <row r="344" spans="1:20" ht="12.75">
      <c r="A344" s="932"/>
      <c r="B344" s="932"/>
      <c r="C344" s="932" t="str">
        <f>+B3</f>
        <v>U 000 din</v>
      </c>
      <c r="D344" s="932" t="s">
        <v>725</v>
      </c>
      <c r="E344" s="932"/>
      <c r="F344" s="932"/>
      <c r="G344" s="932"/>
      <c r="H344" s="932"/>
      <c r="I344" s="933"/>
      <c r="J344" s="933"/>
      <c r="K344" s="933"/>
      <c r="L344" s="933"/>
      <c r="M344" s="933"/>
      <c r="N344" s="933"/>
      <c r="O344" s="933"/>
      <c r="P344" s="933"/>
      <c r="Q344" s="933"/>
      <c r="R344" s="933"/>
      <c r="S344" s="933"/>
      <c r="T344" s="933"/>
    </row>
    <row r="345" spans="1:20" ht="12.75">
      <c r="A345" s="944" t="s">
        <v>633</v>
      </c>
      <c r="B345" s="944" t="s">
        <v>1441</v>
      </c>
      <c r="C345" s="944"/>
      <c r="D345" s="944" t="s">
        <v>419</v>
      </c>
      <c r="E345" s="944"/>
      <c r="F345" s="944"/>
      <c r="G345" s="944"/>
      <c r="H345" s="932"/>
      <c r="I345" s="933"/>
      <c r="J345" s="933"/>
      <c r="K345" s="933"/>
      <c r="L345" s="933"/>
      <c r="M345" s="933"/>
      <c r="N345" s="933"/>
      <c r="O345" s="933"/>
      <c r="P345" s="933"/>
      <c r="Q345" s="933"/>
      <c r="R345" s="933"/>
      <c r="S345" s="933"/>
      <c r="T345" s="933"/>
    </row>
    <row r="346" spans="1:20" ht="12.75">
      <c r="A346" s="944" t="s">
        <v>634</v>
      </c>
      <c r="B346" s="944"/>
      <c r="C346" s="944">
        <f>+$D$6</f>
        <v>2002</v>
      </c>
      <c r="D346" s="944">
        <f>+$E$6</f>
        <v>2001</v>
      </c>
      <c r="E346" s="944">
        <f>+$F$6</f>
        <v>2000</v>
      </c>
      <c r="F346" s="944">
        <f>+$G$6</f>
        <v>1999</v>
      </c>
      <c r="G346" s="944">
        <f>+$H$6</f>
        <v>1998</v>
      </c>
      <c r="H346" s="932"/>
      <c r="I346" s="933"/>
      <c r="J346" s="933"/>
      <c r="K346" s="933"/>
      <c r="L346" s="933"/>
      <c r="M346" s="933"/>
      <c r="N346" s="933"/>
      <c r="O346" s="933"/>
      <c r="P346" s="933"/>
      <c r="Q346" s="933"/>
      <c r="R346" s="933"/>
      <c r="S346" s="933"/>
      <c r="T346" s="933"/>
    </row>
    <row r="347" spans="1:20" ht="12.75">
      <c r="A347" s="944">
        <v>1</v>
      </c>
      <c r="B347" s="944">
        <f aca="true" t="shared" si="13" ref="B347:G347">A347+1</f>
        <v>2</v>
      </c>
      <c r="C347" s="944">
        <f t="shared" si="13"/>
        <v>3</v>
      </c>
      <c r="D347" s="944">
        <f t="shared" si="13"/>
        <v>4</v>
      </c>
      <c r="E347" s="944">
        <f t="shared" si="13"/>
        <v>5</v>
      </c>
      <c r="F347" s="944">
        <f t="shared" si="13"/>
        <v>6</v>
      </c>
      <c r="G347" s="944">
        <f t="shared" si="13"/>
        <v>7</v>
      </c>
      <c r="H347" s="932"/>
      <c r="I347" s="933"/>
      <c r="J347" s="933"/>
      <c r="K347" s="933"/>
      <c r="L347" s="933"/>
      <c r="M347" s="933"/>
      <c r="N347" s="933"/>
      <c r="O347" s="933"/>
      <c r="P347" s="933"/>
      <c r="Q347" s="933"/>
      <c r="R347" s="933"/>
      <c r="S347" s="933"/>
      <c r="T347" s="933"/>
    </row>
    <row r="348" spans="1:20" ht="12.75">
      <c r="A348" s="944">
        <v>1</v>
      </c>
      <c r="B348" s="944" t="s">
        <v>726</v>
      </c>
      <c r="C348" s="949">
        <f>+IF(+D213&gt;0,+D213,-D214)</f>
        <v>692</v>
      </c>
      <c r="D348" s="949">
        <f>+IF(+E213&gt;0,+E213,-E214)</f>
        <v>-4222</v>
      </c>
      <c r="E348" s="949">
        <f>+IF(+F213&gt;0,+F213,-F214)</f>
        <v>-3169</v>
      </c>
      <c r="F348" s="949">
        <f>+IF(+G213&gt;0,+G213,-G214)</f>
        <v>-2730</v>
      </c>
      <c r="G348" s="949">
        <f>+IF(+H213&gt;0,+H213,-H214)</f>
        <v>-1760</v>
      </c>
      <c r="H348" s="932"/>
      <c r="I348" s="933"/>
      <c r="J348" s="933"/>
      <c r="K348" s="933"/>
      <c r="L348" s="933"/>
      <c r="M348" s="933"/>
      <c r="N348" s="933"/>
      <c r="O348" s="933"/>
      <c r="P348" s="933"/>
      <c r="Q348" s="933"/>
      <c r="R348" s="933"/>
      <c r="S348" s="933"/>
      <c r="T348" s="933"/>
    </row>
    <row r="349" spans="1:20" ht="12.75">
      <c r="A349" s="944">
        <f>+A348+1</f>
        <v>2</v>
      </c>
      <c r="B349" s="944" t="s">
        <v>1415</v>
      </c>
      <c r="C349" s="949">
        <f>+D159</f>
        <v>8293</v>
      </c>
      <c r="D349" s="949">
        <f>+E159</f>
        <v>6388</v>
      </c>
      <c r="E349" s="949">
        <f>+F159</f>
        <v>2370</v>
      </c>
      <c r="F349" s="949">
        <f>+G159</f>
        <v>1544</v>
      </c>
      <c r="G349" s="949">
        <f>+H159</f>
        <v>1123</v>
      </c>
      <c r="H349" s="932"/>
      <c r="I349" s="933"/>
      <c r="J349" s="933"/>
      <c r="K349" s="933"/>
      <c r="L349" s="933"/>
      <c r="M349" s="933"/>
      <c r="N349" s="933"/>
      <c r="O349" s="933"/>
      <c r="P349" s="933"/>
      <c r="Q349" s="933"/>
      <c r="R349" s="933"/>
      <c r="S349" s="933"/>
      <c r="T349" s="933"/>
    </row>
    <row r="350" spans="1:20" ht="12.75">
      <c r="A350" s="944">
        <f aca="true" t="shared" si="14" ref="A350:A362">+A349+1</f>
        <v>3</v>
      </c>
      <c r="B350" s="944" t="s">
        <v>727</v>
      </c>
      <c r="C350" s="949">
        <f>SUM(C348:C349)</f>
        <v>8985</v>
      </c>
      <c r="D350" s="949">
        <f>SUM(D348:D349)</f>
        <v>2166</v>
      </c>
      <c r="E350" s="949">
        <f>SUM(E348:E349)</f>
        <v>-799</v>
      </c>
      <c r="F350" s="949">
        <f>SUM(F348:F349)</f>
        <v>-1186</v>
      </c>
      <c r="G350" s="949">
        <f>SUM(G348:G349)</f>
        <v>-637</v>
      </c>
      <c r="H350" s="932"/>
      <c r="I350" s="933"/>
      <c r="J350" s="933"/>
      <c r="K350" s="933"/>
      <c r="L350" s="933"/>
      <c r="M350" s="933"/>
      <c r="N350" s="933"/>
      <c r="O350" s="933"/>
      <c r="P350" s="933"/>
      <c r="Q350" s="933"/>
      <c r="R350" s="933"/>
      <c r="S350" s="933"/>
      <c r="T350" s="933"/>
    </row>
    <row r="351" spans="1:20" ht="12.75">
      <c r="A351" s="944">
        <f t="shared" si="14"/>
        <v>4</v>
      </c>
      <c r="B351" s="944" t="s">
        <v>639</v>
      </c>
      <c r="C351" s="949">
        <f>+D216</f>
        <v>100916</v>
      </c>
      <c r="D351" s="949">
        <f>+E216</f>
        <v>44319</v>
      </c>
      <c r="E351" s="949">
        <f>+F216</f>
        <v>42172</v>
      </c>
      <c r="F351" s="949">
        <f>+G216</f>
        <v>15130</v>
      </c>
      <c r="G351" s="949">
        <f>+H216</f>
        <v>14323</v>
      </c>
      <c r="H351" s="932"/>
      <c r="I351" s="933"/>
      <c r="J351" s="933"/>
      <c r="K351" s="933"/>
      <c r="L351" s="933"/>
      <c r="M351" s="933"/>
      <c r="N351" s="933"/>
      <c r="O351" s="933"/>
      <c r="P351" s="933"/>
      <c r="Q351" s="933"/>
      <c r="R351" s="933"/>
      <c r="S351" s="933"/>
      <c r="T351" s="933"/>
    </row>
    <row r="352" spans="1:20" ht="12.75">
      <c r="A352" s="944">
        <f t="shared" si="14"/>
        <v>5</v>
      </c>
      <c r="B352" s="944" t="s">
        <v>728</v>
      </c>
      <c r="C352" s="949">
        <f>+(+D61+E61)/2</f>
        <v>85409.5</v>
      </c>
      <c r="D352" s="949">
        <f>+(+E61+F61)/2</f>
        <v>65162</v>
      </c>
      <c r="E352" s="949">
        <f>+(+F61+G61)/2</f>
        <v>41099.5</v>
      </c>
      <c r="F352" s="949">
        <f>+(+G61+H61)/2</f>
        <v>22222.5</v>
      </c>
      <c r="G352" s="949">
        <f>+(+H61+I61)/2</f>
        <v>14446</v>
      </c>
      <c r="H352" s="932"/>
      <c r="I352" s="933"/>
      <c r="J352" s="933"/>
      <c r="K352" s="933"/>
      <c r="L352" s="933"/>
      <c r="M352" s="933"/>
      <c r="N352" s="933"/>
      <c r="O352" s="933"/>
      <c r="P352" s="933"/>
      <c r="Q352" s="933"/>
      <c r="R352" s="933"/>
      <c r="S352" s="933"/>
      <c r="T352" s="933"/>
    </row>
    <row r="353" spans="1:20" ht="12.75">
      <c r="A353" s="944">
        <f t="shared" si="14"/>
        <v>6</v>
      </c>
      <c r="B353" s="944" t="s">
        <v>729</v>
      </c>
      <c r="C353" s="971">
        <f>+C351/C352</f>
        <v>1.1815547450810506</v>
      </c>
      <c r="D353" s="971">
        <f>+D351/D352</f>
        <v>0.6801356618888309</v>
      </c>
      <c r="E353" s="971">
        <f>+E351/E352</f>
        <v>1.0260952079708998</v>
      </c>
      <c r="F353" s="971">
        <f>+F351/F352</f>
        <v>0.6808414894813815</v>
      </c>
      <c r="G353" s="971">
        <f>+G351/G352</f>
        <v>0.9914855323272879</v>
      </c>
      <c r="H353" s="932"/>
      <c r="I353" s="933"/>
      <c r="J353" s="933"/>
      <c r="K353" s="933"/>
      <c r="L353" s="933"/>
      <c r="M353" s="933"/>
      <c r="N353" s="933"/>
      <c r="O353" s="933"/>
      <c r="P353" s="933"/>
      <c r="Q353" s="933"/>
      <c r="R353" s="933"/>
      <c r="S353" s="933"/>
      <c r="T353" s="933"/>
    </row>
    <row r="354" spans="1:20" ht="12.75">
      <c r="A354" s="944">
        <f t="shared" si="14"/>
        <v>7</v>
      </c>
      <c r="B354" s="944" t="s">
        <v>730</v>
      </c>
      <c r="C354" s="975">
        <f>(+C348/C351)</f>
        <v>0.0068571881564865825</v>
      </c>
      <c r="D354" s="975">
        <f>(+D348/D351)</f>
        <v>-0.09526388230781381</v>
      </c>
      <c r="E354" s="975">
        <f>(+E348/E351)</f>
        <v>-0.07514464573650763</v>
      </c>
      <c r="F354" s="975">
        <f>(+F348/F351)</f>
        <v>-0.18043621943159285</v>
      </c>
      <c r="G354" s="975">
        <f>(+G348/G351)</f>
        <v>-0.1228792850659778</v>
      </c>
      <c r="H354" s="932"/>
      <c r="I354" s="933"/>
      <c r="J354" s="933"/>
      <c r="K354" s="933"/>
      <c r="L354" s="933"/>
      <c r="M354" s="933"/>
      <c r="N354" s="933"/>
      <c r="O354" s="933"/>
      <c r="P354" s="933"/>
      <c r="Q354" s="933"/>
      <c r="R354" s="933"/>
      <c r="S354" s="933"/>
      <c r="T354" s="933"/>
    </row>
    <row r="355" spans="1:20" ht="12.75">
      <c r="A355" s="944">
        <f t="shared" si="14"/>
        <v>8</v>
      </c>
      <c r="B355" s="944" t="s">
        <v>731</v>
      </c>
      <c r="C355" s="975">
        <f>(+C348/C352)</f>
        <v>0.008102143204210304</v>
      </c>
      <c r="D355" s="975">
        <f>(+D348/D352)</f>
        <v>-0.06479236364752464</v>
      </c>
      <c r="E355" s="975">
        <f>(+E348/E352)</f>
        <v>-0.07710556089490139</v>
      </c>
      <c r="F355" s="975">
        <f>(+F348/F352)</f>
        <v>-0.12284846439419507</v>
      </c>
      <c r="G355" s="975">
        <f>(+G348/G352)</f>
        <v>-0.12183303336563754</v>
      </c>
      <c r="H355" s="932"/>
      <c r="I355" s="933"/>
      <c r="J355" s="933"/>
      <c r="K355" s="933"/>
      <c r="L355" s="933"/>
      <c r="M355" s="933"/>
      <c r="N355" s="933"/>
      <c r="O355" s="933"/>
      <c r="P355" s="933"/>
      <c r="Q355" s="933"/>
      <c r="R355" s="933"/>
      <c r="S355" s="933"/>
      <c r="T355" s="933"/>
    </row>
    <row r="356" spans="1:20" ht="12.75">
      <c r="A356" s="944">
        <f t="shared" si="14"/>
        <v>9</v>
      </c>
      <c r="B356" s="944" t="s">
        <v>732</v>
      </c>
      <c r="C356" s="975">
        <f>+(C350)/C351</f>
        <v>0.08903444448848548</v>
      </c>
      <c r="D356" s="975">
        <f>+(D350)/D351</f>
        <v>0.04887294388411291</v>
      </c>
      <c r="E356" s="975">
        <f>+(E350)/E351</f>
        <v>-0.018946220240918146</v>
      </c>
      <c r="F356" s="975">
        <f>+(F350)/F351</f>
        <v>-0.07838730998017185</v>
      </c>
      <c r="G356" s="975">
        <f>+(G350)/G351</f>
        <v>-0.044473923060811285</v>
      </c>
      <c r="H356" s="932"/>
      <c r="I356" s="933"/>
      <c r="J356" s="933"/>
      <c r="K356" s="933"/>
      <c r="L356" s="933"/>
      <c r="M356" s="933"/>
      <c r="N356" s="933"/>
      <c r="O356" s="933"/>
      <c r="P356" s="933"/>
      <c r="Q356" s="933"/>
      <c r="R356" s="933"/>
      <c r="S356" s="933"/>
      <c r="T356" s="933"/>
    </row>
    <row r="357" spans="1:20" ht="12.75">
      <c r="A357" s="944">
        <f t="shared" si="14"/>
        <v>10</v>
      </c>
      <c r="B357" s="944" t="s">
        <v>733</v>
      </c>
      <c r="C357" s="949">
        <f>+Ulaz!D20</f>
        <v>125862</v>
      </c>
      <c r="D357" s="949">
        <f>+Ulaz!H20</f>
        <v>98879</v>
      </c>
      <c r="E357" s="949">
        <f>+Ulaz!L20</f>
        <v>69635</v>
      </c>
      <c r="F357" s="949">
        <f>+Ulaz!P20</f>
        <v>32688</v>
      </c>
      <c r="G357" s="949">
        <f>+Ulaz!T20</f>
        <v>21778</v>
      </c>
      <c r="H357" s="932"/>
      <c r="I357" s="933"/>
      <c r="J357" s="933"/>
      <c r="K357" s="933"/>
      <c r="L357" s="933"/>
      <c r="M357" s="933"/>
      <c r="N357" s="933"/>
      <c r="O357" s="933"/>
      <c r="P357" s="933"/>
      <c r="Q357" s="933"/>
      <c r="R357" s="933"/>
      <c r="S357" s="933"/>
      <c r="T357" s="933"/>
    </row>
    <row r="358" spans="1:20" ht="12.75">
      <c r="A358" s="944">
        <f t="shared" si="14"/>
        <v>11</v>
      </c>
      <c r="B358" s="944" t="s">
        <v>734</v>
      </c>
      <c r="C358" s="949">
        <f>+Ulaz!E20</f>
        <v>108554</v>
      </c>
      <c r="D358" s="949">
        <f>+Ulaz!I20</f>
        <v>86573</v>
      </c>
      <c r="E358" s="949">
        <f>+Ulaz!M20</f>
        <v>57415</v>
      </c>
      <c r="F358" s="949">
        <f>+Ulaz!Q20</f>
        <v>25301</v>
      </c>
      <c r="G358" s="949">
        <f>+Ulaz!U20</f>
        <v>15372</v>
      </c>
      <c r="H358" s="932"/>
      <c r="I358" s="933"/>
      <c r="J358" s="933"/>
      <c r="K358" s="933"/>
      <c r="L358" s="933"/>
      <c r="M358" s="933"/>
      <c r="N358" s="933"/>
      <c r="O358" s="933"/>
      <c r="P358" s="933"/>
      <c r="Q358" s="933"/>
      <c r="R358" s="933"/>
      <c r="S358" s="933"/>
      <c r="T358" s="933"/>
    </row>
    <row r="359" spans="1:20" ht="12.75">
      <c r="A359" s="944">
        <f t="shared" si="14"/>
        <v>12</v>
      </c>
      <c r="B359" s="944" t="s">
        <v>735</v>
      </c>
      <c r="C359" s="975">
        <f>(+C358/C357)</f>
        <v>0.8624843082105799</v>
      </c>
      <c r="D359" s="975">
        <f>D358/D357</f>
        <v>0.8755448578565722</v>
      </c>
      <c r="E359" s="975">
        <f>E358/E357</f>
        <v>0.8245135348603432</v>
      </c>
      <c r="F359" s="975">
        <f>F358/F357</f>
        <v>0.7740149290259423</v>
      </c>
      <c r="G359" s="975">
        <f>G358/G357</f>
        <v>0.7058499403067315</v>
      </c>
      <c r="H359" s="932"/>
      <c r="I359" s="933"/>
      <c r="J359" s="933"/>
      <c r="K359" s="933"/>
      <c r="L359" s="933"/>
      <c r="M359" s="933"/>
      <c r="N359" s="933"/>
      <c r="O359" s="933"/>
      <c r="P359" s="933"/>
      <c r="Q359" s="933"/>
      <c r="R359" s="933"/>
      <c r="S359" s="933"/>
      <c r="T359" s="933"/>
    </row>
    <row r="360" spans="1:20" ht="12.75">
      <c r="A360" s="944">
        <f t="shared" si="14"/>
        <v>13</v>
      </c>
      <c r="B360" s="944" t="s">
        <v>736</v>
      </c>
      <c r="C360" s="949">
        <f>+Ulaz!D19</f>
        <v>10649</v>
      </c>
      <c r="D360" s="949">
        <f>+Ulaz!H19</f>
        <v>9044</v>
      </c>
      <c r="E360" s="949">
        <f>+Ulaz!L19</f>
        <v>6521</v>
      </c>
      <c r="F360" s="949">
        <f>+Ulaz!P19</f>
        <v>3057</v>
      </c>
      <c r="G360" s="949">
        <f>+Ulaz!T19</f>
        <v>2037</v>
      </c>
      <c r="H360" s="932"/>
      <c r="I360" s="933"/>
      <c r="J360" s="933"/>
      <c r="K360" s="933"/>
      <c r="L360" s="933"/>
      <c r="M360" s="933"/>
      <c r="N360" s="933"/>
      <c r="O360" s="933"/>
      <c r="P360" s="933"/>
      <c r="Q360" s="933"/>
      <c r="R360" s="933"/>
      <c r="S360" s="933"/>
      <c r="T360" s="933"/>
    </row>
    <row r="361" spans="1:20" ht="12.75">
      <c r="A361" s="944">
        <f t="shared" si="14"/>
        <v>14</v>
      </c>
      <c r="B361" s="944" t="s">
        <v>737</v>
      </c>
      <c r="C361" s="949">
        <f>+Ulaz!E19</f>
        <v>8398</v>
      </c>
      <c r="D361" s="949">
        <f>+Ulaz!I19</f>
        <v>7098</v>
      </c>
      <c r="E361" s="949">
        <f>+Ulaz!M19</f>
        <v>4933</v>
      </c>
      <c r="F361" s="949">
        <f>+Ulaz!Q19</f>
        <v>2225</v>
      </c>
      <c r="G361" s="949">
        <f>+Ulaz!U19</f>
        <v>1424</v>
      </c>
      <c r="H361" s="932"/>
      <c r="I361" s="933"/>
      <c r="J361" s="933"/>
      <c r="K361" s="933"/>
      <c r="L361" s="933"/>
      <c r="M361" s="933"/>
      <c r="N361" s="933"/>
      <c r="O361" s="933"/>
      <c r="P361" s="933"/>
      <c r="Q361" s="933"/>
      <c r="R361" s="933"/>
      <c r="S361" s="933"/>
      <c r="T361" s="933"/>
    </row>
    <row r="362" spans="1:20" ht="12.75">
      <c r="A362" s="944">
        <f t="shared" si="14"/>
        <v>15</v>
      </c>
      <c r="B362" s="944" t="s">
        <v>738</v>
      </c>
      <c r="C362" s="975">
        <f>C361/C360</f>
        <v>0.7886186496384637</v>
      </c>
      <c r="D362" s="975">
        <f>D361/D360</f>
        <v>0.7848297213622291</v>
      </c>
      <c r="E362" s="975">
        <f>E361/E360</f>
        <v>0.7564790676276645</v>
      </c>
      <c r="F362" s="975">
        <f>F361/F360</f>
        <v>0.7278377494275433</v>
      </c>
      <c r="G362" s="975">
        <f>G361/G360</f>
        <v>0.6990672557682867</v>
      </c>
      <c r="H362" s="932"/>
      <c r="I362" s="933"/>
      <c r="J362" s="933"/>
      <c r="K362" s="933"/>
      <c r="L362" s="933"/>
      <c r="M362" s="933"/>
      <c r="N362" s="933"/>
      <c r="O362" s="933"/>
      <c r="P362" s="933"/>
      <c r="Q362" s="933"/>
      <c r="R362" s="933"/>
      <c r="S362" s="933"/>
      <c r="T362" s="933"/>
    </row>
    <row r="363" spans="1:20" ht="12.75">
      <c r="A363" s="932"/>
      <c r="B363" s="932"/>
      <c r="C363" s="932"/>
      <c r="D363" s="932"/>
      <c r="E363" s="932"/>
      <c r="F363" s="932"/>
      <c r="G363" s="932"/>
      <c r="H363" s="932"/>
      <c r="I363" s="933"/>
      <c r="J363" s="933"/>
      <c r="K363" s="933"/>
      <c r="L363" s="933"/>
      <c r="M363" s="933"/>
      <c r="N363" s="933"/>
      <c r="O363" s="933"/>
      <c r="P363" s="933"/>
      <c r="Q363" s="933"/>
      <c r="R363" s="933"/>
      <c r="S363" s="933"/>
      <c r="T363" s="933"/>
    </row>
    <row r="364" spans="1:20" ht="12.75">
      <c r="A364" s="932"/>
      <c r="B364" s="932" t="s">
        <v>802</v>
      </c>
      <c r="C364" s="932"/>
      <c r="D364" s="932"/>
      <c r="E364" s="932"/>
      <c r="F364" s="932"/>
      <c r="G364" s="932"/>
      <c r="H364" s="932"/>
      <c r="I364" s="933"/>
      <c r="J364" s="933"/>
      <c r="K364" s="933"/>
      <c r="L364" s="933"/>
      <c r="M364" s="933"/>
      <c r="N364" s="933"/>
      <c r="O364" s="933"/>
      <c r="P364" s="933"/>
      <c r="Q364" s="933"/>
      <c r="R364" s="933"/>
      <c r="S364" s="933"/>
      <c r="T364" s="933"/>
    </row>
    <row r="365" spans="1:20" ht="12.75">
      <c r="A365" s="932" t="s">
        <v>739</v>
      </c>
      <c r="B365" s="932" t="s">
        <v>740</v>
      </c>
      <c r="C365" s="932"/>
      <c r="D365" s="932"/>
      <c r="E365" s="932"/>
      <c r="F365" s="932"/>
      <c r="G365" s="932"/>
      <c r="H365" s="932"/>
      <c r="I365" s="933"/>
      <c r="J365" s="933"/>
      <c r="K365" s="933"/>
      <c r="L365" s="933"/>
      <c r="M365" s="933"/>
      <c r="N365" s="933"/>
      <c r="O365" s="933"/>
      <c r="P365" s="933"/>
      <c r="Q365" s="933"/>
      <c r="R365" s="933"/>
      <c r="S365" s="933"/>
      <c r="T365" s="933"/>
    </row>
    <row r="366" spans="1:20" ht="12.75">
      <c r="A366" s="932"/>
      <c r="B366" s="932"/>
      <c r="C366" s="932" t="s">
        <v>741</v>
      </c>
      <c r="D366" s="932"/>
      <c r="E366" s="932"/>
      <c r="F366" s="932"/>
      <c r="G366" s="932"/>
      <c r="H366" s="932"/>
      <c r="I366" s="933"/>
      <c r="J366" s="933"/>
      <c r="K366" s="933"/>
      <c r="L366" s="933"/>
      <c r="M366" s="933"/>
      <c r="N366" s="933"/>
      <c r="O366" s="933"/>
      <c r="P366" s="933"/>
      <c r="Q366" s="933"/>
      <c r="R366" s="933"/>
      <c r="S366" s="933"/>
      <c r="T366" s="933"/>
    </row>
    <row r="367" spans="1:20" ht="12.75">
      <c r="A367" s="944" t="s">
        <v>633</v>
      </c>
      <c r="B367" s="944" t="s">
        <v>1441</v>
      </c>
      <c r="C367" s="944"/>
      <c r="D367" s="944"/>
      <c r="E367" s="944"/>
      <c r="F367" s="944"/>
      <c r="G367" s="944"/>
      <c r="H367" s="932"/>
      <c r="I367" s="933"/>
      <c r="J367" s="933"/>
      <c r="K367" s="933"/>
      <c r="L367" s="933"/>
      <c r="M367" s="933"/>
      <c r="N367" s="933"/>
      <c r="O367" s="933"/>
      <c r="P367" s="933"/>
      <c r="Q367" s="933"/>
      <c r="R367" s="933"/>
      <c r="S367" s="933"/>
      <c r="T367" s="933"/>
    </row>
    <row r="368" spans="1:20" ht="12.75">
      <c r="A368" s="944" t="s">
        <v>634</v>
      </c>
      <c r="B368" s="944"/>
      <c r="C368" s="944">
        <f>+$D$6</f>
        <v>2002</v>
      </c>
      <c r="D368" s="944">
        <f>+$E$6</f>
        <v>2001</v>
      </c>
      <c r="E368" s="944">
        <f>+$F$6</f>
        <v>2000</v>
      </c>
      <c r="F368" s="944">
        <f>+$G$6</f>
        <v>1999</v>
      </c>
      <c r="G368" s="944">
        <f>+$H$6</f>
        <v>1998</v>
      </c>
      <c r="H368" s="932"/>
      <c r="I368" s="933"/>
      <c r="J368" s="933"/>
      <c r="K368" s="933"/>
      <c r="L368" s="933"/>
      <c r="M368" s="933"/>
      <c r="N368" s="933"/>
      <c r="O368" s="933"/>
      <c r="P368" s="933"/>
      <c r="Q368" s="933"/>
      <c r="R368" s="933"/>
      <c r="S368" s="933"/>
      <c r="T368" s="933"/>
    </row>
    <row r="369" spans="1:20" ht="12.75">
      <c r="A369" s="944">
        <v>1</v>
      </c>
      <c r="B369" s="944">
        <f aca="true" t="shared" si="15" ref="B369:G369">A369+1</f>
        <v>2</v>
      </c>
      <c r="C369" s="944">
        <f t="shared" si="15"/>
        <v>3</v>
      </c>
      <c r="D369" s="944">
        <f t="shared" si="15"/>
        <v>4</v>
      </c>
      <c r="E369" s="944">
        <f t="shared" si="15"/>
        <v>5</v>
      </c>
      <c r="F369" s="944">
        <f t="shared" si="15"/>
        <v>6</v>
      </c>
      <c r="G369" s="944">
        <f t="shared" si="15"/>
        <v>7</v>
      </c>
      <c r="H369" s="932"/>
      <c r="I369" s="933"/>
      <c r="J369" s="933"/>
      <c r="K369" s="933"/>
      <c r="L369" s="933"/>
      <c r="M369" s="933"/>
      <c r="N369" s="933"/>
      <c r="O369" s="933"/>
      <c r="P369" s="933"/>
      <c r="Q369" s="933"/>
      <c r="R369" s="933"/>
      <c r="S369" s="933"/>
      <c r="T369" s="933"/>
    </row>
    <row r="370" spans="1:20" ht="12.75">
      <c r="A370" s="944">
        <v>1</v>
      </c>
      <c r="B370" s="944" t="s">
        <v>742</v>
      </c>
      <c r="C370" s="944"/>
      <c r="D370" s="944"/>
      <c r="E370" s="944"/>
      <c r="F370" s="944"/>
      <c r="G370" s="944"/>
      <c r="H370" s="932"/>
      <c r="I370" s="933"/>
      <c r="J370" s="933"/>
      <c r="K370" s="933"/>
      <c r="L370" s="933"/>
      <c r="M370" s="933"/>
      <c r="N370" s="933"/>
      <c r="O370" s="933"/>
      <c r="P370" s="933"/>
      <c r="Q370" s="933"/>
      <c r="R370" s="933"/>
      <c r="S370" s="933"/>
      <c r="T370" s="933"/>
    </row>
    <row r="371" spans="1:20" ht="12.75">
      <c r="A371" s="944" t="s">
        <v>743</v>
      </c>
      <c r="B371" s="944" t="s">
        <v>744</v>
      </c>
      <c r="C371" s="976">
        <f>+D71/D116</f>
        <v>0.8141279476758158</v>
      </c>
      <c r="D371" s="976">
        <f>+E71/E116</f>
        <v>0.9003834478351175</v>
      </c>
      <c r="E371" s="976">
        <f>+F71/F116</f>
        <v>0.9100985221674877</v>
      </c>
      <c r="F371" s="976">
        <f>+G71/G116</f>
        <v>0.8731423488863358</v>
      </c>
      <c r="G371" s="976">
        <f>+H71/H116</f>
        <v>0.8988661092658344</v>
      </c>
      <c r="H371" s="932"/>
      <c r="I371" s="933"/>
      <c r="J371" s="933"/>
      <c r="K371" s="933"/>
      <c r="L371" s="933"/>
      <c r="M371" s="933"/>
      <c r="N371" s="933"/>
      <c r="O371" s="933"/>
      <c r="P371" s="933"/>
      <c r="Q371" s="933"/>
      <c r="R371" s="933"/>
      <c r="S371" s="933"/>
      <c r="T371" s="933"/>
    </row>
    <row r="372" spans="1:20" ht="12.75">
      <c r="A372" s="944" t="s">
        <v>745</v>
      </c>
      <c r="B372" s="944" t="s">
        <v>746</v>
      </c>
      <c r="C372" s="977">
        <f>(+D71+D89+D115)/D116</f>
        <v>0.8141279476758158</v>
      </c>
      <c r="D372" s="977">
        <f>(+E71+E89+E115)/E116</f>
        <v>0.9003834478351175</v>
      </c>
      <c r="E372" s="977">
        <f>(+F71+F89+F115)/F116</f>
        <v>0.9100985221674877</v>
      </c>
      <c r="F372" s="977">
        <f>(+G71+G89+G115)/G116</f>
        <v>0.8731423488863358</v>
      </c>
      <c r="G372" s="977">
        <f>(+H71+H89+H115)/H116</f>
        <v>0.8988661092658344</v>
      </c>
      <c r="H372" s="932"/>
      <c r="I372" s="933"/>
      <c r="J372" s="933"/>
      <c r="K372" s="933"/>
      <c r="L372" s="933"/>
      <c r="M372" s="933"/>
      <c r="N372" s="933"/>
      <c r="O372" s="933"/>
      <c r="P372" s="933"/>
      <c r="Q372" s="933"/>
      <c r="R372" s="933"/>
      <c r="S372" s="933"/>
      <c r="T372" s="933"/>
    </row>
    <row r="373" spans="1:20" ht="12.75">
      <c r="A373" s="944" t="s">
        <v>747</v>
      </c>
      <c r="B373" s="944" t="s">
        <v>748</v>
      </c>
      <c r="C373" s="977">
        <f>+(D71+D89+D95)/(D10+D58)</f>
        <v>1.101117139268247</v>
      </c>
      <c r="D373" s="977">
        <f>+(E71+E89+E95)/(E10+E58)</f>
        <v>1.0769671778701448</v>
      </c>
      <c r="E373" s="977">
        <f>+(F71+F89+F95)/(F10+F58)</f>
        <v>1.0764979327777897</v>
      </c>
      <c r="F373" s="977">
        <f>+(G71+G89+G95)/(G10+G58)</f>
        <v>1.0841155899134916</v>
      </c>
      <c r="G373" s="977">
        <f>+(H71+H89+H95)/(H10+H58)</f>
        <v>1.203865623561896</v>
      </c>
      <c r="H373" s="932"/>
      <c r="I373" s="933"/>
      <c r="J373" s="933"/>
      <c r="K373" s="933"/>
      <c r="L373" s="933"/>
      <c r="M373" s="933"/>
      <c r="N373" s="933"/>
      <c r="O373" s="933"/>
      <c r="P373" s="933"/>
      <c r="Q373" s="933"/>
      <c r="R373" s="933"/>
      <c r="S373" s="933"/>
      <c r="T373" s="933"/>
    </row>
    <row r="374" spans="1:20" ht="12.75">
      <c r="A374" s="944">
        <v>2</v>
      </c>
      <c r="B374" s="944" t="s">
        <v>749</v>
      </c>
      <c r="C374" s="977"/>
      <c r="D374" s="977"/>
      <c r="E374" s="977"/>
      <c r="F374" s="977"/>
      <c r="G374" s="977"/>
      <c r="H374" s="932"/>
      <c r="I374" s="933"/>
      <c r="J374" s="933"/>
      <c r="K374" s="933"/>
      <c r="L374" s="933"/>
      <c r="M374" s="933"/>
      <c r="N374" s="933"/>
      <c r="O374" s="933"/>
      <c r="P374" s="933"/>
      <c r="Q374" s="933"/>
      <c r="R374" s="933"/>
      <c r="S374" s="933"/>
      <c r="T374" s="933"/>
    </row>
    <row r="375" spans="1:20" ht="12.75">
      <c r="A375" s="944" t="s">
        <v>672</v>
      </c>
      <c r="B375" s="944" t="s">
        <v>750</v>
      </c>
      <c r="C375" s="977">
        <f>+D53/D101</f>
        <v>0.023966942148760332</v>
      </c>
      <c r="D375" s="977">
        <f>+E53/E101</f>
        <v>0.00866738894907909</v>
      </c>
      <c r="E375" s="977">
        <f>+F53/F101</f>
        <v>0.029210314262691377</v>
      </c>
      <c r="F375" s="977">
        <f>+G53/G101</f>
        <v>0.1282500730353491</v>
      </c>
      <c r="G375" s="977">
        <f>+H53/H101</f>
        <v>0.13590033975084936</v>
      </c>
      <c r="H375" s="932"/>
      <c r="I375" s="933"/>
      <c r="J375" s="933"/>
      <c r="K375" s="933"/>
      <c r="L375" s="933"/>
      <c r="M375" s="933"/>
      <c r="N375" s="933"/>
      <c r="O375" s="933"/>
      <c r="P375" s="933"/>
      <c r="Q375" s="933"/>
      <c r="R375" s="933"/>
      <c r="S375" s="933"/>
      <c r="T375" s="933"/>
    </row>
    <row r="376" spans="1:20" ht="12.75">
      <c r="A376" s="944" t="s">
        <v>751</v>
      </c>
      <c r="B376" s="944" t="s">
        <v>752</v>
      </c>
      <c r="C376" s="977">
        <f>+(D33-D34)/D101</f>
        <v>1.2508640120210368</v>
      </c>
      <c r="D376" s="977">
        <f>+(E33-E34)/E101</f>
        <v>1.472237269772481</v>
      </c>
      <c r="E376" s="977">
        <f>+(F33-F34)/F101</f>
        <v>1.525382755842063</v>
      </c>
      <c r="F376" s="977">
        <f>+(G33-G34)/G101</f>
        <v>1.3800759567630734</v>
      </c>
      <c r="G376" s="977">
        <f>+(H33-H34)/H101</f>
        <v>2.12797281993205</v>
      </c>
      <c r="H376" s="932"/>
      <c r="I376" s="933"/>
      <c r="J376" s="933"/>
      <c r="K376" s="933"/>
      <c r="L376" s="933"/>
      <c r="M376" s="933"/>
      <c r="N376" s="933"/>
      <c r="O376" s="933"/>
      <c r="P376" s="933"/>
      <c r="Q376" s="933"/>
      <c r="R376" s="933"/>
      <c r="S376" s="933"/>
      <c r="T376" s="933"/>
    </row>
    <row r="377" spans="1:20" ht="12.75">
      <c r="A377" s="944" t="s">
        <v>676</v>
      </c>
      <c r="B377" s="944" t="s">
        <v>753</v>
      </c>
      <c r="C377" s="977">
        <f>+D33/D101</f>
        <v>1.568519909842224</v>
      </c>
      <c r="D377" s="977">
        <f>+E33/E101</f>
        <v>1.667795232936078</v>
      </c>
      <c r="E377" s="977">
        <f>+F33/F101</f>
        <v>1.719379532634972</v>
      </c>
      <c r="F377" s="977">
        <f>+G33/G101</f>
        <v>1.5340344726847794</v>
      </c>
      <c r="G377" s="977">
        <f>+H33/H101</f>
        <v>2.5050962627406568</v>
      </c>
      <c r="H377" s="932"/>
      <c r="I377" s="933"/>
      <c r="J377" s="933"/>
      <c r="K377" s="933"/>
      <c r="L377" s="933"/>
      <c r="M377" s="933"/>
      <c r="N377" s="933"/>
      <c r="O377" s="933"/>
      <c r="P377" s="933"/>
      <c r="Q377" s="933"/>
      <c r="R377" s="933"/>
      <c r="S377" s="933"/>
      <c r="T377" s="933"/>
    </row>
    <row r="378" spans="1:20" ht="12.75">
      <c r="A378" s="944" t="s">
        <v>678</v>
      </c>
      <c r="B378" s="944" t="s">
        <v>754</v>
      </c>
      <c r="C378" s="977">
        <f>(+D42+D43)/(D106+D107)</f>
        <v>1.6706617496414669</v>
      </c>
      <c r="D378" s="977">
        <f>(+E42+E43)/(E106+E107)</f>
        <v>1.6713985278654049</v>
      </c>
      <c r="E378" s="977">
        <f>(+F42+F43)/(F106+F107)</f>
        <v>2.275268817204301</v>
      </c>
      <c r="F378" s="977">
        <f>(+G42+G43)/(G106+G107)</f>
        <v>2.000472813238771</v>
      </c>
      <c r="G378" s="977">
        <f>(+H42+H43)/(H106+H107)</f>
        <v>1.8925895087427145</v>
      </c>
      <c r="H378" s="932"/>
      <c r="I378" s="933"/>
      <c r="J378" s="933"/>
      <c r="K378" s="933"/>
      <c r="L378" s="933"/>
      <c r="M378" s="933"/>
      <c r="N378" s="933"/>
      <c r="O378" s="933"/>
      <c r="P378" s="933"/>
      <c r="Q378" s="933"/>
      <c r="R378" s="933"/>
      <c r="S378" s="933"/>
      <c r="T378" s="933"/>
    </row>
    <row r="379" spans="1:20" ht="12.75">
      <c r="A379" s="930"/>
      <c r="B379" s="930"/>
      <c r="C379" s="930"/>
      <c r="D379" s="932"/>
      <c r="E379" s="932"/>
      <c r="F379" s="932"/>
      <c r="G379" s="932"/>
      <c r="H379" s="932"/>
      <c r="I379" s="933"/>
      <c r="J379" s="933"/>
      <c r="K379" s="933"/>
      <c r="L379" s="933"/>
      <c r="M379" s="933"/>
      <c r="N379" s="933"/>
      <c r="O379" s="933"/>
      <c r="P379" s="933"/>
      <c r="Q379" s="933"/>
      <c r="R379" s="933"/>
      <c r="S379" s="933"/>
      <c r="T379" s="933"/>
    </row>
    <row r="380" spans="2:20" ht="12.75">
      <c r="B380" s="936" t="str">
        <f>+B1</f>
        <v>xu</v>
      </c>
      <c r="C380" s="936"/>
      <c r="F380" s="933"/>
      <c r="G380" s="933"/>
      <c r="H380" s="933"/>
      <c r="I380" s="933"/>
      <c r="J380" s="933"/>
      <c r="K380" s="933"/>
      <c r="L380" s="933"/>
      <c r="M380" s="933"/>
      <c r="N380" s="933"/>
      <c r="O380" s="933"/>
      <c r="P380" s="933"/>
      <c r="Q380" s="933"/>
      <c r="R380" s="933"/>
      <c r="S380" s="933"/>
      <c r="T380" s="933"/>
    </row>
    <row r="381" spans="1:20" ht="12.75">
      <c r="A381" s="936" t="s">
        <v>755</v>
      </c>
      <c r="B381" s="936" t="s">
        <v>756</v>
      </c>
      <c r="C381" s="936"/>
      <c r="F381" s="933"/>
      <c r="G381" s="933"/>
      <c r="H381" s="933"/>
      <c r="I381" s="933"/>
      <c r="J381" s="933"/>
      <c r="K381" s="933"/>
      <c r="L381" s="933"/>
      <c r="M381" s="933"/>
      <c r="N381" s="933"/>
      <c r="O381" s="933"/>
      <c r="P381" s="933"/>
      <c r="Q381" s="933"/>
      <c r="R381" s="933"/>
      <c r="S381" s="933"/>
      <c r="T381" s="933"/>
    </row>
    <row r="382" spans="1:20" ht="12.75">
      <c r="A382" s="936"/>
      <c r="B382" s="936"/>
      <c r="C382" s="936"/>
      <c r="F382" s="933"/>
      <c r="G382" s="933"/>
      <c r="H382" s="933"/>
      <c r="I382" s="933"/>
      <c r="J382" s="933"/>
      <c r="K382" s="933"/>
      <c r="L382" s="933"/>
      <c r="M382" s="933"/>
      <c r="N382" s="933"/>
      <c r="O382" s="933"/>
      <c r="P382" s="933"/>
      <c r="Q382" s="933"/>
      <c r="R382" s="933"/>
      <c r="S382" s="933"/>
      <c r="T382" s="933"/>
    </row>
    <row r="383" spans="1:20" ht="12.75">
      <c r="A383" s="944" t="s">
        <v>633</v>
      </c>
      <c r="B383" s="944" t="s">
        <v>757</v>
      </c>
      <c r="C383" s="944"/>
      <c r="D383" s="944"/>
      <c r="E383" s="944"/>
      <c r="F383" s="944"/>
      <c r="G383" s="944"/>
      <c r="H383" s="933"/>
      <c r="I383" s="933"/>
      <c r="J383" s="933"/>
      <c r="K383" s="933"/>
      <c r="L383" s="933"/>
      <c r="M383" s="933"/>
      <c r="N383" s="933"/>
      <c r="O383" s="933"/>
      <c r="P383" s="933"/>
      <c r="Q383" s="933"/>
      <c r="R383" s="933"/>
      <c r="S383" s="933"/>
      <c r="T383" s="933"/>
    </row>
    <row r="384" spans="1:20" ht="12.75">
      <c r="A384" s="944" t="s">
        <v>634</v>
      </c>
      <c r="B384" s="944"/>
      <c r="C384" s="944">
        <f>+$D$6</f>
        <v>2002</v>
      </c>
      <c r="D384" s="944">
        <f>+$E$6</f>
        <v>2001</v>
      </c>
      <c r="E384" s="944">
        <f>+$F$6</f>
        <v>2000</v>
      </c>
      <c r="F384" s="944">
        <f>+$G$6</f>
        <v>1999</v>
      </c>
      <c r="G384" s="944">
        <f>+$H$6</f>
        <v>1998</v>
      </c>
      <c r="H384" s="933"/>
      <c r="I384" s="933"/>
      <c r="J384" s="933"/>
      <c r="K384" s="933"/>
      <c r="L384" s="933"/>
      <c r="M384" s="933"/>
      <c r="N384" s="933"/>
      <c r="O384" s="933"/>
      <c r="P384" s="933"/>
      <c r="Q384" s="933"/>
      <c r="R384" s="933"/>
      <c r="S384" s="933"/>
      <c r="T384" s="933"/>
    </row>
    <row r="385" spans="1:20" ht="12.75">
      <c r="A385" s="966">
        <v>1</v>
      </c>
      <c r="B385" s="966" t="s">
        <v>758</v>
      </c>
      <c r="C385" s="978">
        <f>+C240/C230</f>
        <v>0.0068571881564865825</v>
      </c>
      <c r="D385" s="978">
        <f>+D240/D230</f>
        <v>-0.09526388230781381</v>
      </c>
      <c r="E385" s="978">
        <f>+E240/E230</f>
        <v>-0.07514464573650763</v>
      </c>
      <c r="F385" s="978">
        <f>+F240/F230</f>
        <v>-0.18043621943159285</v>
      </c>
      <c r="G385" s="978">
        <f>+G240/G230</f>
        <v>-0.1228792850659778</v>
      </c>
      <c r="H385" s="933"/>
      <c r="I385" s="933"/>
      <c r="J385" s="933"/>
      <c r="K385" s="933"/>
      <c r="L385" s="933"/>
      <c r="M385" s="933"/>
      <c r="N385" s="933"/>
      <c r="O385" s="933"/>
      <c r="P385" s="933"/>
      <c r="Q385" s="933"/>
      <c r="R385" s="933"/>
      <c r="S385" s="933"/>
      <c r="T385" s="933"/>
    </row>
    <row r="386" spans="1:20" ht="12.75">
      <c r="A386" s="966">
        <f>+A385+1</f>
        <v>2</v>
      </c>
      <c r="B386" s="966" t="s">
        <v>759</v>
      </c>
      <c r="C386" s="978">
        <f>+C240/C226</f>
        <v>0.006882079740629134</v>
      </c>
      <c r="D386" s="978">
        <f>+D240/D226</f>
        <v>-0.09794687391253915</v>
      </c>
      <c r="E386" s="978">
        <f>+E240/E226</f>
        <v>-0.12594388363405135</v>
      </c>
      <c r="F386" s="978">
        <f>+F240/F226</f>
        <v>-0.27481377088785985</v>
      </c>
      <c r="G386" s="978">
        <f>+G240/G226</f>
        <v>-0.17169056677397326</v>
      </c>
      <c r="H386" s="933"/>
      <c r="I386" s="933"/>
      <c r="J386" s="933"/>
      <c r="K386" s="933"/>
      <c r="L386" s="933"/>
      <c r="M386" s="933"/>
      <c r="N386" s="933"/>
      <c r="O386" s="933"/>
      <c r="P386" s="933"/>
      <c r="Q386" s="933"/>
      <c r="R386" s="933"/>
      <c r="S386" s="933"/>
      <c r="T386" s="933"/>
    </row>
    <row r="387" spans="1:20" ht="12.75">
      <c r="A387" s="966">
        <f>+A386+1</f>
        <v>3</v>
      </c>
      <c r="B387" s="966" t="s">
        <v>760</v>
      </c>
      <c r="C387" s="978">
        <f>+C226/C308</f>
        <v>1.0505689001264222</v>
      </c>
      <c r="D387" s="978">
        <f>+D226/D308</f>
        <v>0.5739069073866965</v>
      </c>
      <c r="E387" s="978">
        <f>+E226/E308</f>
        <v>0.45570124601564765</v>
      </c>
      <c r="F387" s="978">
        <f>+F226/F308</f>
        <v>0.36815772894044396</v>
      </c>
      <c r="G387" s="978">
        <f>+G226/G308</f>
        <v>0.5870461573702898</v>
      </c>
      <c r="H387" s="933"/>
      <c r="I387" s="933"/>
      <c r="J387" s="933"/>
      <c r="K387" s="933"/>
      <c r="L387" s="933"/>
      <c r="M387" s="933"/>
      <c r="N387" s="933"/>
      <c r="O387" s="933"/>
      <c r="P387" s="933"/>
      <c r="Q387" s="933"/>
      <c r="R387" s="933"/>
      <c r="S387" s="933"/>
      <c r="T387" s="933"/>
    </row>
    <row r="388" spans="1:20" ht="12.75">
      <c r="A388" s="966">
        <f>+A387+1</f>
        <v>4</v>
      </c>
      <c r="B388" s="966" t="s">
        <v>761</v>
      </c>
      <c r="C388" s="978">
        <f>+C226/D71</f>
        <v>1.2904223508425199</v>
      </c>
      <c r="D388" s="978">
        <f>+D226/E71</f>
        <v>0.6374027740809748</v>
      </c>
      <c r="E388" s="978">
        <f>+E226/F71</f>
        <v>0.5007163893974369</v>
      </c>
      <c r="F388" s="978">
        <f>+F226/G71</f>
        <v>0.4216468590831918</v>
      </c>
      <c r="G388" s="978">
        <f>+G226/H71</f>
        <v>0.6530963302752294</v>
      </c>
      <c r="H388" s="933"/>
      <c r="I388" s="933"/>
      <c r="J388" s="933"/>
      <c r="K388" s="933"/>
      <c r="L388" s="933"/>
      <c r="M388" s="933"/>
      <c r="N388" s="933"/>
      <c r="O388" s="933"/>
      <c r="P388" s="933"/>
      <c r="Q388" s="933"/>
      <c r="R388" s="933"/>
      <c r="S388" s="933"/>
      <c r="T388" s="933"/>
    </row>
    <row r="389" spans="1:20" ht="12.75">
      <c r="A389" s="966">
        <f>+A388+1</f>
        <v>5</v>
      </c>
      <c r="B389" s="966" t="s">
        <v>762</v>
      </c>
      <c r="C389" s="978">
        <f>+C308/D71</f>
        <v>1.2283081582628559</v>
      </c>
      <c r="D389" s="978">
        <f>+D308/E71</f>
        <v>1.1106379203265015</v>
      </c>
      <c r="E389" s="978">
        <f>+E308/F71</f>
        <v>1.0987821380243572</v>
      </c>
      <c r="F389" s="978">
        <f>+F308/G71</f>
        <v>1.1452886247877758</v>
      </c>
      <c r="G389" s="978">
        <f>+G308/H71</f>
        <v>1.1125127420998981</v>
      </c>
      <c r="H389" s="933"/>
      <c r="I389" s="933"/>
      <c r="J389" s="933"/>
      <c r="K389" s="933"/>
      <c r="L389" s="933"/>
      <c r="M389" s="933"/>
      <c r="N389" s="933"/>
      <c r="O389" s="933"/>
      <c r="P389" s="933"/>
      <c r="Q389" s="933"/>
      <c r="R389" s="933"/>
      <c r="S389" s="933"/>
      <c r="T389" s="933"/>
    </row>
    <row r="390" spans="1:7" ht="12.75">
      <c r="A390" s="966">
        <f>+A389+1</f>
        <v>6</v>
      </c>
      <c r="B390" s="966" t="s">
        <v>763</v>
      </c>
      <c r="C390" s="978">
        <f>+C240/D71</f>
        <v>0.008880789517588326</v>
      </c>
      <c r="D390" s="978">
        <f>+D240/E71</f>
        <v>-0.06243160914441191</v>
      </c>
      <c r="E390" s="978">
        <f>+E240/F71</f>
        <v>-0.06306216667993314</v>
      </c>
      <c r="F390" s="978">
        <f>+F240/G71</f>
        <v>-0.11587436332767402</v>
      </c>
      <c r="G390" s="978">
        <f>+G240/H71</f>
        <v>-0.11213047910295616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2"/>
  <sheetViews>
    <sheetView zoomScalePageLayoutView="0" workbookViewId="0" topLeftCell="A149">
      <selection activeCell="E166" sqref="E166"/>
    </sheetView>
  </sheetViews>
  <sheetFormatPr defaultColWidth="9.140625" defaultRowHeight="12.75"/>
  <cols>
    <col min="1" max="1" width="10.421875" style="320" bestFit="1" customWidth="1"/>
    <col min="2" max="2" width="39.7109375" style="320" customWidth="1"/>
    <col min="3" max="3" width="7.57421875" style="320" customWidth="1"/>
    <col min="4" max="5" width="12.28125" style="320" customWidth="1"/>
    <col min="6" max="13" width="12.7109375" style="320" customWidth="1"/>
    <col min="14" max="16384" width="9.140625" style="320" customWidth="1"/>
  </cols>
  <sheetData>
    <row r="1" spans="1:8" ht="15">
      <c r="A1" s="831" t="str">
        <f>+'Analiza fin. pok.'!A1</f>
        <v>NAZIV:</v>
      </c>
      <c r="B1" s="831" t="s">
        <v>802</v>
      </c>
      <c r="C1" s="832"/>
      <c r="D1" s="832"/>
      <c r="E1" s="832"/>
      <c r="F1" s="832"/>
      <c r="G1" s="832"/>
      <c r="H1" s="832"/>
    </row>
    <row r="2" spans="1:8" ht="15">
      <c r="A2" s="831" t="str">
        <f>+'Analiza fin. pok.'!A2</f>
        <v>GODINA:</v>
      </c>
      <c r="B2" s="831">
        <f>+'Analiza fin. pok.'!B2</f>
        <v>2002</v>
      </c>
      <c r="C2" s="832"/>
      <c r="D2" s="832"/>
      <c r="E2" s="832"/>
      <c r="F2" s="832"/>
      <c r="G2" s="832"/>
      <c r="H2" s="832"/>
    </row>
    <row r="3" spans="1:8" ht="15">
      <c r="A3" s="831" t="str">
        <f>+'Analiza fin. pok.'!A3</f>
        <v>Iznos</v>
      </c>
      <c r="B3" s="831" t="str">
        <f>+'Analiza fin. pok.'!B3</f>
        <v>U 000 din</v>
      </c>
      <c r="C3" s="832"/>
      <c r="D3" s="832"/>
      <c r="E3" s="832"/>
      <c r="F3" s="832"/>
      <c r="G3" s="832"/>
      <c r="H3" s="832"/>
    </row>
    <row r="4" spans="1:8" ht="18">
      <c r="A4" s="835"/>
      <c r="B4" s="835"/>
      <c r="C4" s="835"/>
      <c r="D4" s="836" t="s">
        <v>421</v>
      </c>
      <c r="E4" s="832"/>
      <c r="F4" s="832"/>
      <c r="G4" s="832"/>
      <c r="H4" s="832"/>
    </row>
    <row r="5" spans="1:8" ht="12.75">
      <c r="A5" s="835" t="s">
        <v>802</v>
      </c>
      <c r="B5" s="835"/>
      <c r="C5" s="835"/>
      <c r="D5" s="832" t="str">
        <f>+B3</f>
        <v>U 000 din</v>
      </c>
      <c r="E5" s="832"/>
      <c r="F5" s="837" t="s">
        <v>614</v>
      </c>
      <c r="G5" s="832"/>
      <c r="H5" s="832"/>
    </row>
    <row r="6" spans="1:8" ht="12.75">
      <c r="A6" s="838"/>
      <c r="B6" s="838"/>
      <c r="C6" s="838"/>
      <c r="D6" s="839">
        <f>+'Analiza fin. pok.'!D6</f>
        <v>2002</v>
      </c>
      <c r="E6" s="839">
        <f>+'Analiza fin. pok.'!E6</f>
        <v>2001</v>
      </c>
      <c r="F6" s="839">
        <f>+'Analiza fin. pok.'!F6</f>
        <v>2000</v>
      </c>
      <c r="G6" s="839">
        <f>+'Analiza fin. pok.'!G6</f>
        <v>1999</v>
      </c>
      <c r="H6" s="839">
        <f>+'Analiza fin. pok.'!H6</f>
        <v>1998</v>
      </c>
    </row>
    <row r="7" spans="1:8" ht="38.25">
      <c r="A7" s="840" t="s">
        <v>422</v>
      </c>
      <c r="B7" s="841" t="s">
        <v>423</v>
      </c>
      <c r="C7" s="841" t="s">
        <v>424</v>
      </c>
      <c r="D7" s="838" t="str">
        <f>+'[3]Sreden bilans'!F7</f>
        <v>Neto</v>
      </c>
      <c r="E7" s="838" t="str">
        <f>+'[3]Sreden bilans'!J7</f>
        <v>Neto</v>
      </c>
      <c r="F7" s="838" t="str">
        <f>+'[3]Sreden bilans'!N7</f>
        <v>Neto</v>
      </c>
      <c r="G7" s="838" t="str">
        <f>+F7</f>
        <v>Neto</v>
      </c>
      <c r="H7" s="838" t="str">
        <f>+G7</f>
        <v>Neto</v>
      </c>
    </row>
    <row r="8" spans="1:8" ht="12.75">
      <c r="A8" s="843">
        <v>1</v>
      </c>
      <c r="B8" s="843">
        <v>2</v>
      </c>
      <c r="C8" s="843">
        <v>3</v>
      </c>
      <c r="D8" s="838">
        <f>+C8+1</f>
        <v>4</v>
      </c>
      <c r="E8" s="838">
        <f>+D8+1</f>
        <v>5</v>
      </c>
      <c r="F8" s="838">
        <f>+E8+1</f>
        <v>6</v>
      </c>
      <c r="G8" s="838">
        <f>+F8+1</f>
        <v>7</v>
      </c>
      <c r="H8" s="838">
        <f>+G8+1</f>
        <v>8</v>
      </c>
    </row>
    <row r="9" spans="1:8" ht="12.75">
      <c r="A9" s="952" t="s">
        <v>427</v>
      </c>
      <c r="B9" s="953" t="s">
        <v>615</v>
      </c>
      <c r="C9" s="954" t="s">
        <v>428</v>
      </c>
      <c r="D9" s="860">
        <f>+'Analiza fin. pok.'!D9/'Analiza fin. pok.'!D$61*100</f>
        <v>0</v>
      </c>
      <c r="E9" s="860">
        <f>+'Analiza fin. pok.'!E9/'Analiza fin. pok.'!E$61*100</f>
        <v>0</v>
      </c>
      <c r="F9" s="860">
        <f>+'Analiza fin. pok.'!F9/'Analiza fin. pok.'!F$61*100</f>
        <v>0</v>
      </c>
      <c r="G9" s="860">
        <f>+'Analiza fin. pok.'!G9/'Analiza fin. pok.'!G$61*100</f>
        <v>0</v>
      </c>
      <c r="H9" s="860">
        <f>+'Analiza fin. pok.'!H9/'Analiza fin. pok.'!H$61*100</f>
        <v>0</v>
      </c>
    </row>
    <row r="10" spans="1:8" ht="12.75">
      <c r="A10" s="952"/>
      <c r="B10" s="953" t="s">
        <v>429</v>
      </c>
      <c r="C10" s="954" t="s">
        <v>430</v>
      </c>
      <c r="D10" s="860">
        <f>+'Analiza fin. pok.'!D10/'Analiza fin. pok.'!D$61*100</f>
        <v>48.29538924470542</v>
      </c>
      <c r="E10" s="860">
        <f>+'Analiza fin. pok.'!E10/'Analiza fin. pok.'!E$61*100</f>
        <v>50.248974809607496</v>
      </c>
      <c r="F10" s="860">
        <f>+'Analiza fin. pok.'!F10/'Analiza fin. pok.'!F$61*100</f>
        <v>57.34388583019414</v>
      </c>
      <c r="G10" s="860">
        <f>+'Analiza fin. pok.'!G10/'Analiza fin. pok.'!G$61*100</f>
        <v>59.9525627246785</v>
      </c>
      <c r="H10" s="860">
        <f>+'Analiza fin. pok.'!H10/'Analiza fin. pok.'!H$61*100</f>
        <v>63.88157141220937</v>
      </c>
    </row>
    <row r="11" spans="1:8" ht="12.75">
      <c r="A11" s="954"/>
      <c r="B11" s="955" t="s">
        <v>431</v>
      </c>
      <c r="C11" s="954" t="s">
        <v>432</v>
      </c>
      <c r="D11" s="860">
        <f>+'Analiza fin. pok.'!D11/'Analiza fin. pok.'!D$61*100</f>
        <v>0</v>
      </c>
      <c r="E11" s="860">
        <f>+'Analiza fin. pok.'!E11/'Analiza fin. pok.'!E$61*100</f>
        <v>0</v>
      </c>
      <c r="F11" s="860">
        <f>+'Analiza fin. pok.'!F11/'Analiza fin. pok.'!F$61*100</f>
        <v>0</v>
      </c>
      <c r="G11" s="860">
        <f>+'Analiza fin. pok.'!G11/'Analiza fin. pok.'!G$61*100</f>
        <v>0</v>
      </c>
      <c r="H11" s="860">
        <f>+'Analiza fin. pok.'!H11/'Analiza fin. pok.'!H$61*100</f>
        <v>0</v>
      </c>
    </row>
    <row r="12" spans="1:8" ht="12.75">
      <c r="A12" s="954" t="s">
        <v>56</v>
      </c>
      <c r="B12" s="956" t="s">
        <v>433</v>
      </c>
      <c r="C12" s="954" t="s">
        <v>434</v>
      </c>
      <c r="D12" s="860">
        <f>+'Analiza fin. pok.'!D12/'Analiza fin. pok.'!D$61*100</f>
        <v>0</v>
      </c>
      <c r="E12" s="860">
        <f>+'Analiza fin. pok.'!E12/'Analiza fin. pok.'!E$61*100</f>
        <v>0</v>
      </c>
      <c r="F12" s="860">
        <f>+'Analiza fin. pok.'!F12/'Analiza fin. pok.'!F$61*100</f>
        <v>0</v>
      </c>
      <c r="G12" s="860">
        <f>+'Analiza fin. pok.'!G12/'Analiza fin. pok.'!G$61*100</f>
        <v>0</v>
      </c>
      <c r="H12" s="860">
        <f>+'Analiza fin. pok.'!H12/'Analiza fin. pok.'!H$61*100</f>
        <v>0</v>
      </c>
    </row>
    <row r="13" spans="1:8" ht="12.75">
      <c r="A13" s="954" t="s">
        <v>435</v>
      </c>
      <c r="B13" s="956" t="s">
        <v>436</v>
      </c>
      <c r="C13" s="954" t="s">
        <v>437</v>
      </c>
      <c r="D13" s="860">
        <f>+'Analiza fin. pok.'!D13/'Analiza fin. pok.'!D$61*100</f>
        <v>0</v>
      </c>
      <c r="E13" s="860">
        <f>+'Analiza fin. pok.'!E13/'Analiza fin. pok.'!E$61*100</f>
        <v>0</v>
      </c>
      <c r="F13" s="860">
        <f>+'Analiza fin. pok.'!F13/'Analiza fin. pok.'!F$61*100</f>
        <v>0</v>
      </c>
      <c r="G13" s="860">
        <f>+'Analiza fin. pok.'!G13/'Analiza fin. pok.'!G$61*100</f>
        <v>0</v>
      </c>
      <c r="H13" s="860">
        <f>+'Analiza fin. pok.'!H13/'Analiza fin. pok.'!H$61*100</f>
        <v>0</v>
      </c>
    </row>
    <row r="14" spans="1:8" ht="12.75">
      <c r="A14" s="954" t="s">
        <v>594</v>
      </c>
      <c r="B14" s="944" t="s">
        <v>438</v>
      </c>
      <c r="C14" s="954" t="s">
        <v>439</v>
      </c>
      <c r="D14" s="860">
        <f>+'Analiza fin. pok.'!D14/'Analiza fin. pok.'!D$61*100</f>
        <v>0</v>
      </c>
      <c r="E14" s="860">
        <f>+'Analiza fin. pok.'!E14/'Analiza fin. pok.'!E$61*100</f>
        <v>0</v>
      </c>
      <c r="F14" s="860">
        <f>+'Analiza fin. pok.'!F14/'Analiza fin. pok.'!F$61*100</f>
        <v>0</v>
      </c>
      <c r="G14" s="860">
        <f>+'Analiza fin. pok.'!G14/'Analiza fin. pok.'!G$61*100</f>
        <v>0</v>
      </c>
      <c r="H14" s="860">
        <f>+'Analiza fin. pok.'!H14/'Analiza fin. pok.'!H$61*100</f>
        <v>0</v>
      </c>
    </row>
    <row r="15" spans="1:8" ht="12.75">
      <c r="A15" s="954" t="s">
        <v>595</v>
      </c>
      <c r="B15" s="944" t="s">
        <v>440</v>
      </c>
      <c r="C15" s="954" t="s">
        <v>441</v>
      </c>
      <c r="D15" s="860">
        <f>+'Analiza fin. pok.'!D15/'Analiza fin. pok.'!D$61*100</f>
        <v>0</v>
      </c>
      <c r="E15" s="860">
        <f>+'Analiza fin. pok.'!E15/'Analiza fin. pok.'!E$61*100</f>
        <v>0</v>
      </c>
      <c r="F15" s="860">
        <f>+'Analiza fin. pok.'!F15/'Analiza fin. pok.'!F$61*100</f>
        <v>0</v>
      </c>
      <c r="G15" s="860">
        <f>+'Analiza fin. pok.'!G15/'Analiza fin. pok.'!G$61*100</f>
        <v>0</v>
      </c>
      <c r="H15" s="860">
        <f>+'Analiza fin. pok.'!H15/'Analiza fin. pok.'!H$61*100</f>
        <v>0</v>
      </c>
    </row>
    <row r="16" spans="1:8" ht="12.75">
      <c r="A16" s="954" t="s">
        <v>442</v>
      </c>
      <c r="B16" s="944" t="s">
        <v>443</v>
      </c>
      <c r="C16" s="954" t="s">
        <v>444</v>
      </c>
      <c r="D16" s="860">
        <f>+'Analiza fin. pok.'!D16/'Analiza fin. pok.'!D$61*100</f>
        <v>0</v>
      </c>
      <c r="E16" s="860">
        <f>+'Analiza fin. pok.'!E16/'Analiza fin. pok.'!E$61*100</f>
        <v>0</v>
      </c>
      <c r="F16" s="860">
        <f>+'Analiza fin. pok.'!F16/'Analiza fin. pok.'!F$61*100</f>
        <v>0</v>
      </c>
      <c r="G16" s="860">
        <f>+'Analiza fin. pok.'!G16/'Analiza fin. pok.'!G$61*100</f>
        <v>0</v>
      </c>
      <c r="H16" s="860">
        <f>+'Analiza fin. pok.'!H16/'Analiza fin. pok.'!H$61*100</f>
        <v>0</v>
      </c>
    </row>
    <row r="17" spans="1:8" ht="12.75">
      <c r="A17" s="954"/>
      <c r="B17" s="953" t="s">
        <v>445</v>
      </c>
      <c r="C17" s="954" t="s">
        <v>446</v>
      </c>
      <c r="D17" s="860">
        <f>+'Analiza fin. pok.'!D17/'Analiza fin. pok.'!D$61*100</f>
        <v>40.780056628809646</v>
      </c>
      <c r="E17" s="860">
        <f>+'Analiza fin. pok.'!E17/'Analiza fin. pok.'!E$61*100</f>
        <v>41.677317995419926</v>
      </c>
      <c r="F17" s="860">
        <f>+'Analiza fin. pok.'!F17/'Analiza fin. pok.'!F$61*100</f>
        <v>48.94052448565633</v>
      </c>
      <c r="G17" s="860">
        <f>+'Analiza fin. pok.'!G17/'Analiza fin. pok.'!G$61*100</f>
        <v>53.41881925656895</v>
      </c>
      <c r="H17" s="860">
        <f>+'Analiza fin. pok.'!H17/'Analiza fin. pok.'!H$61*100</f>
        <v>62.18646203184057</v>
      </c>
    </row>
    <row r="18" spans="1:8" ht="12.75">
      <c r="A18" s="954" t="s">
        <v>447</v>
      </c>
      <c r="B18" s="944" t="s">
        <v>448</v>
      </c>
      <c r="C18" s="954" t="s">
        <v>56</v>
      </c>
      <c r="D18" s="860">
        <f>+'Analiza fin. pok.'!D18/'Analiza fin. pok.'!D$61*100</f>
        <v>20.344578993010206</v>
      </c>
      <c r="E18" s="860">
        <f>+'Analiza fin. pok.'!E18/'Analiza fin. pok.'!E$61*100</f>
        <v>22.70197582148373</v>
      </c>
      <c r="F18" s="860">
        <f>+'Analiza fin. pok.'!F18/'Analiza fin. pok.'!F$61*100</f>
        <v>22.263474355259344</v>
      </c>
      <c r="G18" s="860">
        <f>+'Analiza fin. pok.'!G18/'Analiza fin. pok.'!G$61*100</f>
        <v>21.3578920060779</v>
      </c>
      <c r="H18" s="860">
        <f>+'Analiza fin. pok.'!H18/'Analiza fin. pok.'!H$61*100</f>
        <v>21.990608177757416</v>
      </c>
    </row>
    <row r="19" spans="1:8" ht="12.75">
      <c r="A19" s="954" t="s">
        <v>449</v>
      </c>
      <c r="B19" s="944" t="s">
        <v>450</v>
      </c>
      <c r="C19" s="954" t="s">
        <v>57</v>
      </c>
      <c r="D19" s="860">
        <f>+'Analiza fin. pok.'!D19/'Analiza fin. pok.'!D$61*100</f>
        <v>2.351871780673068</v>
      </c>
      <c r="E19" s="860">
        <f>+'Analiza fin. pok.'!E19/'Analiza fin. pok.'!E$61*100</f>
        <v>2.5909357192309743</v>
      </c>
      <c r="F19" s="860">
        <f>+'Analiza fin. pok.'!F19/'Analiza fin. pok.'!F$61*100</f>
        <v>2.8759779773978558</v>
      </c>
      <c r="G19" s="860">
        <f>+'Analiza fin. pok.'!G19/'Analiza fin. pok.'!G$61*100</f>
        <v>3.083422895897417</v>
      </c>
      <c r="H19" s="860">
        <f>+'Analiza fin. pok.'!H19/'Analiza fin. pok.'!H$61*100</f>
        <v>3.5104798992097126</v>
      </c>
    </row>
    <row r="20" spans="1:8" ht="12.75">
      <c r="A20" s="954" t="s">
        <v>451</v>
      </c>
      <c r="B20" s="944" t="s">
        <v>452</v>
      </c>
      <c r="C20" s="954" t="s">
        <v>593</v>
      </c>
      <c r="D20" s="860">
        <f>+'Analiza fin. pok.'!D20/'Analiza fin. pok.'!D$61*100</f>
        <v>18.08360585512637</v>
      </c>
      <c r="E20" s="860">
        <f>+'Analiza fin. pok.'!E20/'Analiza fin. pok.'!E$61*100</f>
        <v>16.384406454705225</v>
      </c>
      <c r="F20" s="860">
        <f>+'Analiza fin. pok.'!F20/'Analiza fin. pok.'!F$61*100</f>
        <v>22.1312662996233</v>
      </c>
      <c r="G20" s="860">
        <f>+'Analiza fin. pok.'!G20/'Analiza fin. pok.'!G$61*100</f>
        <v>27.376496312493053</v>
      </c>
      <c r="H20" s="860">
        <f>+'Analiza fin. pok.'!H20/'Analiza fin. pok.'!H$61*100</f>
        <v>36.68537395487344</v>
      </c>
    </row>
    <row r="21" spans="1:8" ht="12.75">
      <c r="A21" s="954" t="s">
        <v>453</v>
      </c>
      <c r="B21" s="944" t="s">
        <v>454</v>
      </c>
      <c r="C21" s="954" t="s">
        <v>594</v>
      </c>
      <c r="D21" s="860">
        <f>+'Analiza fin. pok.'!D21/'Analiza fin. pok.'!D$61*100</f>
        <v>0</v>
      </c>
      <c r="E21" s="860">
        <f>+'Analiza fin. pok.'!E21/'Analiza fin. pok.'!E$61*100</f>
        <v>0</v>
      </c>
      <c r="F21" s="860">
        <f>+'Analiza fin. pok.'!F21/'Analiza fin. pok.'!F$61*100</f>
        <v>0</v>
      </c>
      <c r="G21" s="860">
        <f>+'Analiza fin. pok.'!G21/'Analiza fin. pok.'!G$61*100</f>
        <v>0</v>
      </c>
      <c r="H21" s="860">
        <f>+'Analiza fin. pok.'!H21/'Analiza fin. pok.'!H$61*100</f>
        <v>0</v>
      </c>
    </row>
    <row r="22" spans="1:8" ht="12.75">
      <c r="A22" s="954" t="s">
        <v>890</v>
      </c>
      <c r="B22" s="944" t="s">
        <v>455</v>
      </c>
      <c r="C22" s="954" t="s">
        <v>595</v>
      </c>
      <c r="D22" s="860">
        <f>+'Analiza fin. pok.'!D22/'Analiza fin. pok.'!D$61*100</f>
        <v>0</v>
      </c>
      <c r="E22" s="860">
        <f>+'Analiza fin. pok.'!E22/'Analiza fin. pok.'!E$61*100</f>
        <v>0</v>
      </c>
      <c r="F22" s="860">
        <f>+'Analiza fin. pok.'!F22/'Analiza fin. pok.'!F$61*100</f>
        <v>0</v>
      </c>
      <c r="G22" s="860">
        <f>+'Analiza fin. pok.'!G22/'Analiza fin. pok.'!G$61*100</f>
        <v>0</v>
      </c>
      <c r="H22" s="860">
        <f>+'Analiza fin. pok.'!H22/'Analiza fin. pok.'!H$61*100</f>
        <v>0</v>
      </c>
    </row>
    <row r="23" spans="1:8" ht="12.75">
      <c r="A23" s="954" t="s">
        <v>456</v>
      </c>
      <c r="B23" s="944" t="s">
        <v>457</v>
      </c>
      <c r="C23" s="954" t="s">
        <v>596</v>
      </c>
      <c r="D23" s="860">
        <f>+'Analiza fin. pok.'!D23/'Analiza fin. pok.'!D$61*100</f>
        <v>0</v>
      </c>
      <c r="E23" s="860">
        <f>+'Analiza fin. pok.'!E23/'Analiza fin. pok.'!E$61*100</f>
        <v>0</v>
      </c>
      <c r="F23" s="860">
        <f>+'Analiza fin. pok.'!F23/'Analiza fin. pok.'!F$61*100</f>
        <v>0</v>
      </c>
      <c r="G23" s="860">
        <f>+'Analiza fin. pok.'!G23/'Analiza fin. pok.'!G$61*100</f>
        <v>0</v>
      </c>
      <c r="H23" s="860">
        <f>+'Analiza fin. pok.'!H23/'Analiza fin. pok.'!H$61*100</f>
        <v>0</v>
      </c>
    </row>
    <row r="24" spans="1:8" ht="12.75">
      <c r="A24" s="954" t="s">
        <v>458</v>
      </c>
      <c r="B24" s="944" t="s">
        <v>459</v>
      </c>
      <c r="C24" s="954" t="s">
        <v>597</v>
      </c>
      <c r="D24" s="860">
        <f>+'Analiza fin. pok.'!D24/'Analiza fin. pok.'!D$61*100</f>
        <v>0</v>
      </c>
      <c r="E24" s="860">
        <f>+'Analiza fin. pok.'!E24/'Analiza fin. pok.'!E$61*100</f>
        <v>0</v>
      </c>
      <c r="F24" s="860">
        <f>+'Analiza fin. pok.'!F24/'Analiza fin. pok.'!F$61*100</f>
        <v>1.669805853375833</v>
      </c>
      <c r="G24" s="860">
        <f>+'Analiza fin. pok.'!G24/'Analiza fin. pok.'!G$61*100</f>
        <v>1.601008042100582</v>
      </c>
      <c r="H24" s="860">
        <f>+'Analiza fin. pok.'!H24/'Analiza fin. pok.'!H$61*100</f>
        <v>0</v>
      </c>
    </row>
    <row r="25" spans="1:8" ht="12.75">
      <c r="A25" s="954"/>
      <c r="B25" s="953" t="s">
        <v>460</v>
      </c>
      <c r="C25" s="954" t="s">
        <v>598</v>
      </c>
      <c r="D25" s="860">
        <f>+'Analiza fin. pok.'!D25/'Analiza fin. pok.'!D$61*100</f>
        <v>7.51533261589577</v>
      </c>
      <c r="E25" s="860">
        <f>+'Analiza fin. pok.'!E25/'Analiza fin. pok.'!E$61*100</f>
        <v>8.57165681418757</v>
      </c>
      <c r="F25" s="860">
        <f>+'Analiza fin. pok.'!F25/'Analiza fin. pok.'!F$61*100</f>
        <v>8.403361344537815</v>
      </c>
      <c r="G25" s="860">
        <f>+'Analiza fin. pok.'!G25/'Analiza fin. pok.'!G$61*100</f>
        <v>6.53374346810955</v>
      </c>
      <c r="H25" s="860">
        <f>+'Analiza fin. pok.'!H25/'Analiza fin. pok.'!H$61*100</f>
        <v>1.6951093803688009</v>
      </c>
    </row>
    <row r="26" spans="1:8" ht="12.75">
      <c r="A26" s="954" t="s">
        <v>461</v>
      </c>
      <c r="B26" s="944" t="s">
        <v>462</v>
      </c>
      <c r="C26" s="954" t="s">
        <v>463</v>
      </c>
      <c r="D26" s="860">
        <f>+'Analiza fin. pok.'!D26/'Analiza fin. pok.'!D$61*100</f>
        <v>0</v>
      </c>
      <c r="E26" s="860">
        <f>+'Analiza fin. pok.'!E26/'Analiza fin. pok.'!E$61*100</f>
        <v>0</v>
      </c>
      <c r="F26" s="860">
        <f>+'Analiza fin. pok.'!F26/'Analiza fin. pok.'!F$61*100</f>
        <v>0</v>
      </c>
      <c r="G26" s="860">
        <f>+'Analiza fin. pok.'!G26/'Analiza fin. pok.'!G$61*100</f>
        <v>0</v>
      </c>
      <c r="H26" s="860">
        <f>+'Analiza fin. pok.'!H26/'Analiza fin. pok.'!H$61*100</f>
        <v>1.6951093803688009</v>
      </c>
    </row>
    <row r="27" spans="1:8" ht="12.75">
      <c r="A27" s="954" t="s">
        <v>464</v>
      </c>
      <c r="B27" s="944" t="s">
        <v>465</v>
      </c>
      <c r="C27" s="954" t="s">
        <v>599</v>
      </c>
      <c r="D27" s="860">
        <f>+'Analiza fin. pok.'!D27/'Analiza fin. pok.'!D$61*100</f>
        <v>7.51533261589577</v>
      </c>
      <c r="E27" s="860">
        <f>+'Analiza fin. pok.'!E27/'Analiza fin. pok.'!E$61*100</f>
        <v>8.57165681418757</v>
      </c>
      <c r="F27" s="860">
        <f>+'Analiza fin. pok.'!F27/'Analiza fin. pok.'!F$61*100</f>
        <v>8.403361344537815</v>
      </c>
      <c r="G27" s="860">
        <f>+'Analiza fin. pok.'!G27/'Analiza fin. pok.'!G$61*100</f>
        <v>6.53374346810955</v>
      </c>
      <c r="H27" s="860">
        <f>+'Analiza fin. pok.'!H27/'Analiza fin. pok.'!H$61*100</f>
        <v>0</v>
      </c>
    </row>
    <row r="28" spans="1:8" ht="12.75">
      <c r="A28" s="954" t="s">
        <v>466</v>
      </c>
      <c r="B28" s="944" t="s">
        <v>467</v>
      </c>
      <c r="C28" s="954" t="s">
        <v>600</v>
      </c>
      <c r="D28" s="860">
        <f>+'Analiza fin. pok.'!D28/'Analiza fin. pok.'!D$61*100</f>
        <v>0</v>
      </c>
      <c r="E28" s="860">
        <f>+'Analiza fin. pok.'!E28/'Analiza fin. pok.'!E$61*100</f>
        <v>0</v>
      </c>
      <c r="F28" s="860">
        <f>+'Analiza fin. pok.'!F28/'Analiza fin. pok.'!F$61*100</f>
        <v>0</v>
      </c>
      <c r="G28" s="860">
        <f>+'Analiza fin. pok.'!G28/'Analiza fin. pok.'!G$61*100</f>
        <v>0</v>
      </c>
      <c r="H28" s="860">
        <f>+'Analiza fin. pok.'!H28/'Analiza fin. pok.'!H$61*100</f>
        <v>0</v>
      </c>
    </row>
    <row r="29" spans="1:8" ht="12.75">
      <c r="A29" s="954" t="s">
        <v>468</v>
      </c>
      <c r="B29" s="944" t="s">
        <v>469</v>
      </c>
      <c r="C29" s="954" t="s">
        <v>470</v>
      </c>
      <c r="D29" s="860">
        <f>+'Analiza fin. pok.'!D29/'Analiza fin. pok.'!D$61*100</f>
        <v>0</v>
      </c>
      <c r="E29" s="860">
        <f>+'Analiza fin. pok.'!E29/'Analiza fin. pok.'!E$61*100</f>
        <v>0</v>
      </c>
      <c r="F29" s="860">
        <f>+'Analiza fin. pok.'!F29/'Analiza fin. pok.'!F$61*100</f>
        <v>0</v>
      </c>
      <c r="G29" s="860">
        <f>+'Analiza fin. pok.'!G29/'Analiza fin. pok.'!G$61*100</f>
        <v>0</v>
      </c>
      <c r="H29" s="860">
        <f>+'Analiza fin. pok.'!H29/'Analiza fin. pok.'!H$61*100</f>
        <v>0</v>
      </c>
    </row>
    <row r="30" spans="1:8" ht="12.75">
      <c r="A30" s="954" t="s">
        <v>471</v>
      </c>
      <c r="B30" s="944" t="s">
        <v>472</v>
      </c>
      <c r="C30" s="954" t="s">
        <v>449</v>
      </c>
      <c r="D30" s="860">
        <f>+'Analiza fin. pok.'!D30/'Analiza fin. pok.'!D$61*100</f>
        <v>0</v>
      </c>
      <c r="E30" s="860">
        <f>+'Analiza fin. pok.'!E30/'Analiza fin. pok.'!E$61*100</f>
        <v>0</v>
      </c>
      <c r="F30" s="860">
        <f>+'Analiza fin. pok.'!F30/'Analiza fin. pok.'!F$61*100</f>
        <v>0</v>
      </c>
      <c r="G30" s="860">
        <f>+'Analiza fin. pok.'!G30/'Analiza fin. pok.'!G$61*100</f>
        <v>0</v>
      </c>
      <c r="H30" s="860">
        <f>+'Analiza fin. pok.'!H30/'Analiza fin. pok.'!H$61*100</f>
        <v>0</v>
      </c>
    </row>
    <row r="31" spans="1:8" ht="12.75">
      <c r="A31" s="954" t="s">
        <v>473</v>
      </c>
      <c r="B31" s="944" t="s">
        <v>474</v>
      </c>
      <c r="C31" s="954" t="s">
        <v>451</v>
      </c>
      <c r="D31" s="860">
        <f>+'Analiza fin. pok.'!D31/'Analiza fin. pok.'!D$61*100</f>
        <v>0</v>
      </c>
      <c r="E31" s="860">
        <f>+'Analiza fin. pok.'!E31/'Analiza fin. pok.'!E$61*100</f>
        <v>0</v>
      </c>
      <c r="F31" s="860">
        <f>+'Analiza fin. pok.'!F31/'Analiza fin. pok.'!F$61*100</f>
        <v>0</v>
      </c>
      <c r="G31" s="860">
        <f>+'Analiza fin. pok.'!G31/'Analiza fin. pok.'!G$61*100</f>
        <v>0</v>
      </c>
      <c r="H31" s="860">
        <f>+'Analiza fin. pok.'!H31/'Analiza fin. pok.'!H$61*100</f>
        <v>0</v>
      </c>
    </row>
    <row r="32" spans="1:8" ht="12.75">
      <c r="A32" s="954" t="s">
        <v>475</v>
      </c>
      <c r="B32" s="944" t="s">
        <v>476</v>
      </c>
      <c r="C32" s="954" t="s">
        <v>453</v>
      </c>
      <c r="D32" s="860">
        <f>+'Analiza fin. pok.'!D32/'Analiza fin. pok.'!D$61*100</f>
        <v>0</v>
      </c>
      <c r="E32" s="860">
        <f>+'Analiza fin. pok.'!E32/'Analiza fin. pok.'!E$61*100</f>
        <v>0</v>
      </c>
      <c r="F32" s="860">
        <f>+'Analiza fin. pok.'!F32/'Analiza fin. pok.'!F$61*100</f>
        <v>0</v>
      </c>
      <c r="G32" s="860">
        <f>+'Analiza fin. pok.'!G32/'Analiza fin. pok.'!G$61*100</f>
        <v>0</v>
      </c>
      <c r="H32" s="860">
        <f>+'Analiza fin. pok.'!H32/'Analiza fin. pok.'!H$61*100</f>
        <v>0</v>
      </c>
    </row>
    <row r="33" spans="1:8" ht="12.75">
      <c r="A33" s="954"/>
      <c r="B33" s="953" t="s">
        <v>477</v>
      </c>
      <c r="C33" s="957" t="s">
        <v>453</v>
      </c>
      <c r="D33" s="860">
        <f>+'Analiza fin. pok.'!D33/'Analiza fin. pok.'!D$61*100</f>
        <v>21.81253983345697</v>
      </c>
      <c r="E33" s="860">
        <f>+'Analiza fin. pok.'!E33/'Analiza fin. pok.'!E$61*100</f>
        <v>16.396389199552644</v>
      </c>
      <c r="F33" s="860">
        <f>+'Analiza fin. pok.'!F33/'Analiza fin. pok.'!F$61*100</f>
        <v>15.45747609388583</v>
      </c>
      <c r="G33" s="860">
        <f>+'Analiza fin. pok.'!G33/'Analiza fin. pok.'!G$61*100</f>
        <v>19.460400993217952</v>
      </c>
      <c r="H33" s="860">
        <f>+'Analiza fin. pok.'!H33/'Analiza fin. pok.'!H$61*100</f>
        <v>25.33501317145802</v>
      </c>
    </row>
    <row r="34" spans="1:8" ht="12.75">
      <c r="A34" s="954"/>
      <c r="B34" s="953" t="s">
        <v>479</v>
      </c>
      <c r="C34" s="957" t="s">
        <v>478</v>
      </c>
      <c r="D34" s="860">
        <f>+'Analiza fin. pok.'!D34/'Analiza fin. pok.'!D$61*100</f>
        <v>4.417465077159365</v>
      </c>
      <c r="E34" s="860">
        <f>+'Analiza fin. pok.'!E34/'Analiza fin. pok.'!E$61*100</f>
        <v>1.9225648399637856</v>
      </c>
      <c r="F34" s="860">
        <f>+'Analiza fin. pok.'!F34/'Analiza fin. pok.'!F$61*100</f>
        <v>1.7440596928426544</v>
      </c>
      <c r="G34" s="860">
        <f>+'Analiza fin. pok.'!G34/'Analiza fin. pok.'!G$61*100</f>
        <v>1.9530815698773303</v>
      </c>
      <c r="H34" s="860">
        <f>+'Analiza fin. pok.'!H34/'Analiza fin. pok.'!H$61*100</f>
        <v>3.8139961058298018</v>
      </c>
    </row>
    <row r="35" spans="1:8" ht="12.75">
      <c r="A35" s="954" t="s">
        <v>1125</v>
      </c>
      <c r="B35" s="944" t="s">
        <v>480</v>
      </c>
      <c r="C35" s="957" t="s">
        <v>890</v>
      </c>
      <c r="D35" s="860">
        <f>+'Analiza fin. pok.'!D35/'Analiza fin. pok.'!D$61*100</f>
        <v>4.247160723427819</v>
      </c>
      <c r="E35" s="860">
        <f>+'Analiza fin. pok.'!E35/'Analiza fin. pok.'!E$61*100</f>
        <v>1.902593598551419</v>
      </c>
      <c r="F35" s="860">
        <f>+'Analiza fin. pok.'!F35/'Analiza fin. pok.'!F$61*100</f>
        <v>1.7440596928426544</v>
      </c>
      <c r="G35" s="860">
        <f>+'Analiza fin. pok.'!G35/'Analiza fin. pok.'!G$61*100</f>
        <v>1.941963458473854</v>
      </c>
      <c r="H35" s="860">
        <f>+'Analiza fin. pok.'!H35/'Analiza fin. pok.'!H$61*100</f>
        <v>3.7910892223113044</v>
      </c>
    </row>
    <row r="36" spans="1:8" ht="12.75">
      <c r="A36" s="954" t="s">
        <v>1138</v>
      </c>
      <c r="B36" s="944" t="s">
        <v>481</v>
      </c>
      <c r="C36" s="957" t="s">
        <v>456</v>
      </c>
      <c r="D36" s="860">
        <f>+'Analiza fin. pok.'!D36/'Analiza fin. pok.'!D$61*100</f>
        <v>0</v>
      </c>
      <c r="E36" s="860">
        <f>+'Analiza fin. pok.'!E36/'Analiza fin. pok.'!E$61*100</f>
        <v>0</v>
      </c>
      <c r="F36" s="860">
        <f>+'Analiza fin. pok.'!F36/'Analiza fin. pok.'!F$61*100</f>
        <v>0</v>
      </c>
      <c r="G36" s="860">
        <f>+'Analiza fin. pok.'!G36/'Analiza fin. pok.'!G$61*100</f>
        <v>0</v>
      </c>
      <c r="H36" s="860">
        <f>+'Analiza fin. pok.'!H36/'Analiza fin. pok.'!H$61*100</f>
        <v>0</v>
      </c>
    </row>
    <row r="37" spans="1:8" ht="12.75">
      <c r="A37" s="954" t="s">
        <v>1139</v>
      </c>
      <c r="B37" s="944" t="s">
        <v>483</v>
      </c>
      <c r="C37" s="957" t="s">
        <v>482</v>
      </c>
      <c r="D37" s="860">
        <f>+'Analiza fin. pok.'!D37/'Analiza fin. pok.'!D$61*100</f>
        <v>0</v>
      </c>
      <c r="E37" s="860">
        <f>+'Analiza fin. pok.'!E37/'Analiza fin. pok.'!E$61*100</f>
        <v>0</v>
      </c>
      <c r="F37" s="860">
        <f>+'Analiza fin. pok.'!F37/'Analiza fin. pok.'!F$61*100</f>
        <v>0</v>
      </c>
      <c r="G37" s="860">
        <f>+'Analiza fin. pok.'!G37/'Analiza fin. pok.'!G$61*100</f>
        <v>0</v>
      </c>
      <c r="H37" s="860">
        <f>+'Analiza fin. pok.'!H37/'Analiza fin. pok.'!H$61*100</f>
        <v>0</v>
      </c>
    </row>
    <row r="38" spans="1:8" ht="12.75">
      <c r="A38" s="954" t="s">
        <v>1140</v>
      </c>
      <c r="B38" s="944" t="s">
        <v>485</v>
      </c>
      <c r="C38" s="957" t="s">
        <v>484</v>
      </c>
      <c r="D38" s="860">
        <f>+'Analiza fin. pok.'!D38/'Analiza fin. pok.'!D$61*100</f>
        <v>0</v>
      </c>
      <c r="E38" s="860">
        <f>+'Analiza fin. pok.'!E38/'Analiza fin. pok.'!E$61*100</f>
        <v>0</v>
      </c>
      <c r="F38" s="860">
        <f>+'Analiza fin. pok.'!F38/'Analiza fin. pok.'!F$61*100</f>
        <v>0</v>
      </c>
      <c r="G38" s="860">
        <f>+'Analiza fin. pok.'!G38/'Analiza fin. pok.'!G$61*100</f>
        <v>0.011118111403476263</v>
      </c>
      <c r="H38" s="860">
        <f>+'Analiza fin. pok.'!H38/'Analiza fin. pok.'!H$61*100</f>
        <v>0</v>
      </c>
    </row>
    <row r="39" spans="1:8" ht="12.75">
      <c r="A39" s="954" t="s">
        <v>1141</v>
      </c>
      <c r="B39" s="944" t="s">
        <v>486</v>
      </c>
      <c r="C39" s="957" t="s">
        <v>461</v>
      </c>
      <c r="D39" s="860">
        <f>+'Analiza fin. pok.'!D39/'Analiza fin. pok.'!D$61*100</f>
        <v>0.170304353731546</v>
      </c>
      <c r="E39" s="860">
        <f>+'Analiza fin. pok.'!E39/'Analiza fin. pok.'!E$61*100</f>
        <v>0.019971241412366194</v>
      </c>
      <c r="F39" s="860">
        <f>+'Analiza fin. pok.'!F39/'Analiza fin. pok.'!F$61*100</f>
        <v>0</v>
      </c>
      <c r="G39" s="860">
        <f>+'Analiza fin. pok.'!G39/'Analiza fin. pok.'!G$61*100</f>
        <v>0</v>
      </c>
      <c r="H39" s="860">
        <f>+'Analiza fin. pok.'!H39/'Analiza fin. pok.'!H$61*100</f>
        <v>0.02290688351849731</v>
      </c>
    </row>
    <row r="40" spans="1:8" ht="12.75">
      <c r="A40" s="954"/>
      <c r="B40" s="953" t="s">
        <v>487</v>
      </c>
      <c r="C40" s="957" t="s">
        <v>464</v>
      </c>
      <c r="D40" s="860">
        <f>+'Analiza fin. pok.'!D40/'Analiza fin. pok.'!D$61*100</f>
        <v>17.061779732737094</v>
      </c>
      <c r="E40" s="860">
        <f>+'Analiza fin. pok.'!E40/'Analiza fin. pok.'!E$61*100</f>
        <v>14.388613729562763</v>
      </c>
      <c r="F40" s="860">
        <f>+'Analiza fin. pok.'!F40/'Analiza fin. pok.'!F$61*100</f>
        <v>13.450811359026368</v>
      </c>
      <c r="G40" s="860">
        <f>+'Analiza fin. pok.'!G40/'Analiza fin. pok.'!G$61*100</f>
        <v>15.880369121298596</v>
      </c>
      <c r="H40" s="860">
        <f>+'Analiza fin. pok.'!H40/'Analiza fin. pok.'!H$61*100</f>
        <v>20.146604054518384</v>
      </c>
    </row>
    <row r="41" spans="1:8" ht="12.75">
      <c r="A41" s="954"/>
      <c r="B41" s="953" t="s">
        <v>488</v>
      </c>
      <c r="C41" s="957" t="s">
        <v>466</v>
      </c>
      <c r="D41" s="860">
        <f>+'Analiza fin. pok.'!D41/'Analiza fin. pok.'!D$61*100</f>
        <v>17.061779732737094</v>
      </c>
      <c r="E41" s="860">
        <f>+'Analiza fin. pok.'!E41/'Analiza fin. pok.'!E$61*100</f>
        <v>13.046546306651754</v>
      </c>
      <c r="F41" s="860">
        <f>+'Analiza fin. pok.'!F41/'Analiza fin. pok.'!F$61*100</f>
        <v>13.450811359026368</v>
      </c>
      <c r="G41" s="860">
        <f>+'Analiza fin. pok.'!G41/'Analiza fin. pok.'!G$61*100</f>
        <v>15.880369121298596</v>
      </c>
      <c r="H41" s="860">
        <f>+'Analiza fin. pok.'!H41/'Analiza fin. pok.'!H$61*100</f>
        <v>13.26308555720994</v>
      </c>
    </row>
    <row r="42" spans="1:8" ht="12.75">
      <c r="A42" s="954" t="s">
        <v>490</v>
      </c>
      <c r="B42" s="944" t="s">
        <v>491</v>
      </c>
      <c r="C42" s="957" t="s">
        <v>489</v>
      </c>
      <c r="D42" s="860">
        <f>+'Analiza fin. pok.'!D42/'Analiza fin. pok.'!D$61*100</f>
        <v>0</v>
      </c>
      <c r="E42" s="860">
        <f>+'Analiza fin. pok.'!E42/'Analiza fin. pok.'!E$61*100</f>
        <v>0</v>
      </c>
      <c r="F42" s="860">
        <f>+'Analiza fin. pok.'!F42/'Analiza fin. pok.'!F$61*100</f>
        <v>0</v>
      </c>
      <c r="G42" s="860">
        <f>+'Analiza fin. pok.'!G42/'Analiza fin. pok.'!G$61*100</f>
        <v>0</v>
      </c>
      <c r="H42" s="860">
        <f>+'Analiza fin. pok.'!H42/'Analiza fin. pok.'!H$61*100</f>
        <v>0</v>
      </c>
    </row>
    <row r="43" spans="1:8" ht="12.75">
      <c r="A43" s="954" t="s">
        <v>493</v>
      </c>
      <c r="B43" s="944" t="s">
        <v>494</v>
      </c>
      <c r="C43" s="957" t="s">
        <v>492</v>
      </c>
      <c r="D43" s="860">
        <f>+'Analiza fin. pok.'!D43/'Analiza fin. pok.'!D$61*100</f>
        <v>17.039838681029348</v>
      </c>
      <c r="E43" s="860">
        <f>+'Analiza fin. pok.'!E43/'Analiza fin. pok.'!E$61*100</f>
        <v>12.697715289982426</v>
      </c>
      <c r="F43" s="860">
        <f>+'Analiza fin. pok.'!F43/'Analiza fin. pok.'!F$61*100</f>
        <v>13.412778904665315</v>
      </c>
      <c r="G43" s="860">
        <f>+'Analiza fin. pok.'!G43/'Analiza fin. pok.'!G$61*100</f>
        <v>15.680243116036022</v>
      </c>
      <c r="H43" s="860">
        <f>+'Analiza fin. pok.'!H43/'Analiza fin. pok.'!H$61*100</f>
        <v>13.016836559386096</v>
      </c>
    </row>
    <row r="44" spans="1:8" ht="12.75">
      <c r="A44" s="954" t="s">
        <v>1142</v>
      </c>
      <c r="B44" s="944" t="s">
        <v>495</v>
      </c>
      <c r="C44" s="957" t="s">
        <v>471</v>
      </c>
      <c r="D44" s="860">
        <f>+'Analiza fin. pok.'!D44/'Analiza fin. pok.'!D$61*100</f>
        <v>0.010448119860831044</v>
      </c>
      <c r="E44" s="860">
        <f>+'Analiza fin. pok.'!E44/'Analiza fin. pok.'!E$61*100</f>
        <v>0.3022314533738084</v>
      </c>
      <c r="F44" s="860">
        <f>+'Analiza fin. pok.'!F44/'Analiza fin. pok.'!F$61*100</f>
        <v>0.018110692552883223</v>
      </c>
      <c r="G44" s="860">
        <f>+'Analiza fin. pok.'!G44/'Analiza fin. pok.'!G$61*100</f>
        <v>0.16677167105214394</v>
      </c>
      <c r="H44" s="860">
        <f>+'Analiza fin. pok.'!H44/'Analiza fin. pok.'!H$61*100</f>
        <v>0.1889817890276028</v>
      </c>
    </row>
    <row r="45" spans="1:8" ht="12.75">
      <c r="A45" s="954" t="s">
        <v>496</v>
      </c>
      <c r="B45" s="944" t="s">
        <v>497</v>
      </c>
      <c r="C45" s="957" t="s">
        <v>473</v>
      </c>
      <c r="D45" s="860">
        <f>+'Analiza fin. pok.'!D45/'Analiza fin. pok.'!D$61*100</f>
        <v>0.011492931846914148</v>
      </c>
      <c r="E45" s="860">
        <f>+'Analiza fin. pok.'!E45/'Analiza fin. pok.'!E$61*100</f>
        <v>0.04659956329552112</v>
      </c>
      <c r="F45" s="860">
        <f>+'Analiza fin. pok.'!F45/'Analiza fin. pok.'!F$61*100</f>
        <v>0.019921761808171543</v>
      </c>
      <c r="G45" s="860">
        <f>+'Analiza fin. pok.'!G45/'Analiza fin. pok.'!G$61*100</f>
        <v>0.033354334210428785</v>
      </c>
      <c r="H45" s="860">
        <f>+'Analiza fin. pok.'!H45/'Analiza fin. pok.'!H$61*100</f>
        <v>0.057267208796243266</v>
      </c>
    </row>
    <row r="46" spans="1:8" ht="12.75">
      <c r="A46" s="954"/>
      <c r="B46" s="953" t="s">
        <v>499</v>
      </c>
      <c r="C46" s="957" t="s">
        <v>498</v>
      </c>
      <c r="D46" s="860">
        <f>+'Analiza fin. pok.'!D46/'Analiza fin. pok.'!D$61*100</f>
        <v>0</v>
      </c>
      <c r="E46" s="860">
        <f>+'Analiza fin. pok.'!E46/'Analiza fin. pok.'!E$61*100</f>
        <v>1.3420674229110081</v>
      </c>
      <c r="F46" s="860">
        <f>+'Analiza fin. pok.'!F46/'Analiza fin. pok.'!F$61*100</f>
        <v>0</v>
      </c>
      <c r="G46" s="860">
        <f>+'Analiza fin. pok.'!G46/'Analiza fin. pok.'!G$61*100</f>
        <v>0</v>
      </c>
      <c r="H46" s="860">
        <f>+'Analiza fin. pok.'!H46/'Analiza fin. pok.'!H$61*100</f>
        <v>6.883518497308441</v>
      </c>
    </row>
    <row r="47" spans="1:8" ht="12.75">
      <c r="A47" s="954" t="s">
        <v>1143</v>
      </c>
      <c r="B47" s="944" t="s">
        <v>501</v>
      </c>
      <c r="C47" s="957" t="s">
        <v>500</v>
      </c>
      <c r="D47" s="860">
        <f>+'Analiza fin. pok.'!D47/'Analiza fin. pok.'!D$61*100</f>
        <v>0</v>
      </c>
      <c r="E47" s="860">
        <f>+'Analiza fin. pok.'!E47/'Analiza fin. pok.'!E$61*100</f>
        <v>0</v>
      </c>
      <c r="F47" s="860">
        <f>+'Analiza fin. pok.'!F47/'Analiza fin. pok.'!F$61*100</f>
        <v>0</v>
      </c>
      <c r="G47" s="860">
        <f>+'Analiza fin. pok.'!G47/'Analiza fin. pok.'!G$61*100</f>
        <v>0</v>
      </c>
      <c r="H47" s="860">
        <f>+'Analiza fin. pok.'!H47/'Analiza fin. pok.'!H$61*100</f>
        <v>0</v>
      </c>
    </row>
    <row r="48" spans="1:8" ht="12.75">
      <c r="A48" s="954" t="s">
        <v>502</v>
      </c>
      <c r="B48" s="944" t="s">
        <v>503</v>
      </c>
      <c r="C48" s="957" t="s">
        <v>475</v>
      </c>
      <c r="D48" s="860">
        <f>+'Analiza fin. pok.'!D48/'Analiza fin. pok.'!D$61*100</f>
        <v>0</v>
      </c>
      <c r="E48" s="860">
        <f>+'Analiza fin. pok.'!E48/'Analiza fin. pok.'!E$61*100</f>
        <v>1.3420674229110081</v>
      </c>
      <c r="F48" s="860">
        <f>+'Analiza fin. pok.'!F48/'Analiza fin. pok.'!F$61*100</f>
        <v>0</v>
      </c>
      <c r="G48" s="860">
        <f>+'Analiza fin. pok.'!G48/'Analiza fin. pok.'!G$61*100</f>
        <v>0</v>
      </c>
      <c r="H48" s="860">
        <f>+'Analiza fin. pok.'!H48/'Analiza fin. pok.'!H$61*100</f>
        <v>6.883518497308441</v>
      </c>
    </row>
    <row r="49" spans="1:8" ht="12.75">
      <c r="A49" s="954" t="s">
        <v>505</v>
      </c>
      <c r="B49" s="944" t="s">
        <v>506</v>
      </c>
      <c r="C49" s="957" t="s">
        <v>504</v>
      </c>
      <c r="D49" s="860">
        <f>+'Analiza fin. pok.'!D49/'Analiza fin. pok.'!D$61*100</f>
        <v>0</v>
      </c>
      <c r="E49" s="860">
        <f>+'Analiza fin. pok.'!E49/'Analiza fin. pok.'!E$61*100</f>
        <v>0</v>
      </c>
      <c r="F49" s="860">
        <f>+'Analiza fin. pok.'!F49/'Analiza fin. pok.'!F$61*100</f>
        <v>0</v>
      </c>
      <c r="G49" s="860">
        <f>+'Analiza fin. pok.'!G49/'Analiza fin. pok.'!G$61*100</f>
        <v>0</v>
      </c>
      <c r="H49" s="860">
        <f>+'Analiza fin. pok.'!H49/'Analiza fin. pok.'!H$61*100</f>
        <v>0</v>
      </c>
    </row>
    <row r="50" spans="1:8" ht="12.75">
      <c r="A50" s="954" t="s">
        <v>1144</v>
      </c>
      <c r="B50" s="944" t="s">
        <v>508</v>
      </c>
      <c r="C50" s="957" t="s">
        <v>507</v>
      </c>
      <c r="D50" s="860">
        <f>+'Analiza fin. pok.'!D50/'Analiza fin. pok.'!D$61*100</f>
        <v>0</v>
      </c>
      <c r="E50" s="860">
        <f>+'Analiza fin. pok.'!E50/'Analiza fin. pok.'!E$61*100</f>
        <v>0</v>
      </c>
      <c r="F50" s="860">
        <f>+'Analiza fin. pok.'!F50/'Analiza fin. pok.'!F$61*100</f>
        <v>0</v>
      </c>
      <c r="G50" s="860">
        <f>+'Analiza fin. pok.'!G50/'Analiza fin. pok.'!G$61*100</f>
        <v>0</v>
      </c>
      <c r="H50" s="860">
        <f>+'Analiza fin. pok.'!H50/'Analiza fin. pok.'!H$61*100</f>
        <v>0</v>
      </c>
    </row>
    <row r="51" spans="1:8" ht="12.75">
      <c r="A51" s="954" t="s">
        <v>770</v>
      </c>
      <c r="B51" s="944" t="s">
        <v>771</v>
      </c>
      <c r="C51" s="957" t="s">
        <v>509</v>
      </c>
      <c r="D51" s="860">
        <f>+'Analiza fin. pok.'!D51/'Analiza fin. pok.'!D$61*100</f>
        <v>0</v>
      </c>
      <c r="E51" s="860">
        <f>+'Analiza fin. pok.'!E51/'Analiza fin. pok.'!E$61*100</f>
        <v>0</v>
      </c>
      <c r="F51" s="860">
        <f>+'Analiza fin. pok.'!F51/'Analiza fin. pok.'!F$61*100</f>
        <v>0</v>
      </c>
      <c r="G51" s="860">
        <f>+'Analiza fin. pok.'!G51/'Analiza fin. pok.'!G$61*100</f>
        <v>0</v>
      </c>
      <c r="H51" s="860">
        <f>+'Analiza fin. pok.'!H51/'Analiza fin. pok.'!H$61*100</f>
        <v>0</v>
      </c>
    </row>
    <row r="52" spans="1:8" ht="12.75">
      <c r="A52" s="954" t="s">
        <v>1091</v>
      </c>
      <c r="B52" s="944" t="s">
        <v>772</v>
      </c>
      <c r="C52" s="957" t="s">
        <v>511</v>
      </c>
      <c r="D52" s="860">
        <f>+'Analiza fin. pok.'!D52/'Analiza fin. pok.'!D$61*100</f>
        <v>0</v>
      </c>
      <c r="E52" s="860">
        <f>+'Analiza fin. pok.'!E52/'Analiza fin. pok.'!E$61*100</f>
        <v>0</v>
      </c>
      <c r="F52" s="860">
        <f>+'Analiza fin. pok.'!F52/'Analiza fin. pok.'!F$61*100</f>
        <v>0</v>
      </c>
      <c r="G52" s="860">
        <f>+'Analiza fin. pok.'!G52/'Analiza fin. pok.'!G$61*100</f>
        <v>0</v>
      </c>
      <c r="H52" s="860">
        <f>+'Analiza fin. pok.'!H52/'Analiza fin. pok.'!H$61*100</f>
        <v>0</v>
      </c>
    </row>
    <row r="53" spans="1:8" ht="12.75">
      <c r="A53" s="954"/>
      <c r="B53" s="953" t="s">
        <v>512</v>
      </c>
      <c r="C53" s="957" t="s">
        <v>513</v>
      </c>
      <c r="D53" s="860">
        <f>+'Analiza fin. pok.'!D53/'Analiza fin. pok.'!D$61*100</f>
        <v>0.33329502356051033</v>
      </c>
      <c r="E53" s="860">
        <f>+'Analiza fin. pok.'!E53/'Analiza fin. pok.'!E$61*100</f>
        <v>0.08521063002609575</v>
      </c>
      <c r="F53" s="860">
        <f>+'Analiza fin. pok.'!F53/'Analiza fin. pok.'!F$61*100</f>
        <v>0.26260504201680673</v>
      </c>
      <c r="G53" s="860">
        <f>+'Analiza fin. pok.'!G53/'Analiza fin. pok.'!G$61*100</f>
        <v>1.6269503020420264</v>
      </c>
      <c r="H53" s="860">
        <f>+'Analiza fin. pok.'!H53/'Analiza fin. pok.'!H$61*100</f>
        <v>1.3744130111098385</v>
      </c>
    </row>
    <row r="54" spans="1:8" ht="12.75">
      <c r="A54" s="954" t="s">
        <v>1145</v>
      </c>
      <c r="B54" s="944" t="s">
        <v>514</v>
      </c>
      <c r="C54" s="957" t="s">
        <v>515</v>
      </c>
      <c r="D54" s="860">
        <f>+'Analiza fin. pok.'!D54/'Analiza fin. pok.'!D$61*100</f>
        <v>0</v>
      </c>
      <c r="E54" s="860">
        <f>+'Analiza fin. pok.'!E54/'Analiza fin. pok.'!E$61*100</f>
        <v>0</v>
      </c>
      <c r="F54" s="860">
        <f>+'Analiza fin. pok.'!F54/'Analiza fin. pok.'!F$61*100</f>
        <v>0</v>
      </c>
      <c r="G54" s="860">
        <f>+'Analiza fin. pok.'!G54/'Analiza fin. pok.'!G$61*100</f>
        <v>0</v>
      </c>
      <c r="H54" s="860">
        <f>+'Analiza fin. pok.'!H54/'Analiza fin. pok.'!H$61*100</f>
        <v>0</v>
      </c>
    </row>
    <row r="55" spans="1:8" ht="12.75">
      <c r="A55" s="954" t="s">
        <v>516</v>
      </c>
      <c r="B55" s="944" t="s">
        <v>517</v>
      </c>
      <c r="C55" s="957" t="s">
        <v>518</v>
      </c>
      <c r="D55" s="860">
        <f>+'Analiza fin. pok.'!D55/'Analiza fin. pok.'!D$61*100</f>
        <v>0.33329502356051033</v>
      </c>
      <c r="E55" s="860">
        <f>+'Analiza fin. pok.'!E55/'Analiza fin. pok.'!E$61*100</f>
        <v>0.08521063002609575</v>
      </c>
      <c r="F55" s="860">
        <f>+'Analiza fin. pok.'!F55/'Analiza fin. pok.'!F$61*100</f>
        <v>0.26260504201680673</v>
      </c>
      <c r="G55" s="860">
        <f>+'Analiza fin. pok.'!G55/'Analiza fin. pok.'!G$61*100</f>
        <v>1.6269503020420264</v>
      </c>
      <c r="H55" s="860">
        <f>+'Analiza fin. pok.'!H55/'Analiza fin. pok.'!H$61*100</f>
        <v>1.3744130111098385</v>
      </c>
    </row>
    <row r="56" spans="1:8" ht="12.75">
      <c r="A56" s="954" t="s">
        <v>1116</v>
      </c>
      <c r="B56" s="944" t="s">
        <v>519</v>
      </c>
      <c r="C56" s="957" t="s">
        <v>520</v>
      </c>
      <c r="D56" s="860">
        <f>+'Analiza fin. pok.'!D56/'Analiza fin. pok.'!D$61*100</f>
        <v>0</v>
      </c>
      <c r="E56" s="860">
        <f>+'Analiza fin. pok.'!E56/'Analiza fin. pok.'!E$61*100</f>
        <v>0</v>
      </c>
      <c r="F56" s="860">
        <f>+'Analiza fin. pok.'!F56/'Analiza fin. pok.'!F$61*100</f>
        <v>0</v>
      </c>
      <c r="G56" s="860">
        <f>+'Analiza fin. pok.'!G56/'Analiza fin. pok.'!G$61*100</f>
        <v>0</v>
      </c>
      <c r="H56" s="860">
        <f>+'Analiza fin. pok.'!H56/'Analiza fin. pok.'!H$61*100</f>
        <v>0</v>
      </c>
    </row>
    <row r="57" spans="1:8" ht="12.75">
      <c r="A57" s="954"/>
      <c r="B57" s="953" t="s">
        <v>521</v>
      </c>
      <c r="C57" s="957" t="s">
        <v>522</v>
      </c>
      <c r="D57" s="860">
        <f>+'Analiza fin. pok.'!D57/'Analiza fin. pok.'!D$61*100</f>
        <v>70.10792907816239</v>
      </c>
      <c r="E57" s="860">
        <f>+'Analiza fin. pok.'!E57/'Analiza fin. pok.'!E$61*100</f>
        <v>66.64536400916015</v>
      </c>
      <c r="F57" s="860">
        <f>+'Analiza fin. pok.'!F57/'Analiza fin. pok.'!F$61*100</f>
        <v>72.80136192407997</v>
      </c>
      <c r="G57" s="860">
        <f>+'Analiza fin. pok.'!G57/'Analiza fin. pok.'!G$61*100</f>
        <v>79.41296371789646</v>
      </c>
      <c r="H57" s="860">
        <f>+'Analiza fin. pok.'!H57/'Analiza fin. pok.'!H$61*100</f>
        <v>89.21658458366738</v>
      </c>
    </row>
    <row r="58" spans="1:8" ht="12.75">
      <c r="A58" s="954" t="s">
        <v>1117</v>
      </c>
      <c r="B58" s="953" t="s">
        <v>523</v>
      </c>
      <c r="C58" s="957" t="s">
        <v>524</v>
      </c>
      <c r="D58" s="860">
        <f>+'Analiza fin. pok.'!D58/'Analiza fin. pok.'!D$61*100</f>
        <v>29.892070921837615</v>
      </c>
      <c r="E58" s="860">
        <f>+'Analiza fin. pok.'!E58/'Analiza fin. pok.'!E$61*100</f>
        <v>33.35463599083986</v>
      </c>
      <c r="F58" s="860">
        <f>+'Analiza fin. pok.'!F58/'Analiza fin. pok.'!F$61*100</f>
        <v>27.198638075920023</v>
      </c>
      <c r="G58" s="860">
        <f>+'Analiza fin. pok.'!G58/'Analiza fin. pok.'!G$61*100</f>
        <v>20.587036282103547</v>
      </c>
      <c r="H58" s="860">
        <f>+'Analiza fin. pok.'!H58/'Analiza fin. pok.'!H$61*100</f>
        <v>10.783415416332607</v>
      </c>
    </row>
    <row r="59" spans="1:8" ht="12.75">
      <c r="A59" s="954" t="s">
        <v>525</v>
      </c>
      <c r="B59" s="944" t="s">
        <v>526</v>
      </c>
      <c r="C59" s="957" t="s">
        <v>527</v>
      </c>
      <c r="D59" s="860">
        <f>+'Analiza fin. pok.'!D59/'Analiza fin. pok.'!D$61*100</f>
        <v>29.892070921837615</v>
      </c>
      <c r="E59" s="860">
        <f>+'Analiza fin. pok.'!E59/'Analiza fin. pok.'!E$61*100</f>
        <v>27.733397241305852</v>
      </c>
      <c r="F59" s="860">
        <f>+'Analiza fin. pok.'!F59/'Analiza fin. pok.'!F$61*100</f>
        <v>21.45935960591133</v>
      </c>
      <c r="G59" s="860">
        <f>+'Analiza fin. pok.'!G59/'Analiza fin. pok.'!G$61*100</f>
        <v>10.469554904940148</v>
      </c>
      <c r="H59" s="860">
        <f>+'Analiza fin. pok.'!H59/'Analiza fin. pok.'!H$61*100</f>
        <v>0.7043866681937923</v>
      </c>
    </row>
    <row r="60" spans="1:8" ht="12.75">
      <c r="A60" s="954" t="s">
        <v>528</v>
      </c>
      <c r="B60" s="944" t="s">
        <v>529</v>
      </c>
      <c r="C60" s="957" t="s">
        <v>530</v>
      </c>
      <c r="D60" s="860">
        <f>+'Analiza fin. pok.'!D60/'Analiza fin. pok.'!D$61*100</f>
        <v>0</v>
      </c>
      <c r="E60" s="860">
        <f>+'Analiza fin. pok.'!E60/'Analiza fin. pok.'!E$61*100</f>
        <v>5.621238749534005</v>
      </c>
      <c r="F60" s="860">
        <f>+'Analiza fin. pok.'!F60/'Analiza fin. pok.'!F$61*100</f>
        <v>5.739278470008693</v>
      </c>
      <c r="G60" s="860">
        <f>+'Analiza fin. pok.'!G60/'Analiza fin. pok.'!G$61*100</f>
        <v>10.117481377163399</v>
      </c>
      <c r="H60" s="860">
        <f>+'Analiza fin. pok.'!H60/'Analiza fin. pok.'!H$61*100</f>
        <v>10.079028748138816</v>
      </c>
    </row>
    <row r="61" spans="1:8" ht="12.75">
      <c r="A61" s="954"/>
      <c r="B61" s="953" t="s">
        <v>531</v>
      </c>
      <c r="C61" s="958" t="s">
        <v>532</v>
      </c>
      <c r="D61" s="860">
        <f>+'Analiza fin. pok.'!D61/'Analiza fin. pok.'!D$61*100</f>
        <v>100</v>
      </c>
      <c r="E61" s="860">
        <f>+'Analiza fin. pok.'!E61/'Analiza fin. pok.'!E$61*100</f>
        <v>100</v>
      </c>
      <c r="F61" s="860">
        <f>+'Analiza fin. pok.'!F61/'Analiza fin. pok.'!F$61*100</f>
        <v>100</v>
      </c>
      <c r="G61" s="860">
        <f>+'Analiza fin. pok.'!G61/'Analiza fin. pok.'!G$61*100</f>
        <v>100</v>
      </c>
      <c r="H61" s="860">
        <f>+'Analiza fin. pok.'!H61/'Analiza fin. pok.'!H$61*100</f>
        <v>100</v>
      </c>
    </row>
    <row r="62" spans="1:8" ht="12.75">
      <c r="A62" s="954" t="s">
        <v>1133</v>
      </c>
      <c r="B62" s="944" t="s">
        <v>533</v>
      </c>
      <c r="C62" s="957" t="s">
        <v>534</v>
      </c>
      <c r="D62" s="860">
        <f>+'Analiza fin. pok.'!D62/'Analiza fin. pok.'!D$61*100</f>
        <v>0</v>
      </c>
      <c r="E62" s="860">
        <f>+'Analiza fin. pok.'!E62/'Analiza fin. pok.'!E$61*100</f>
        <v>0</v>
      </c>
      <c r="F62" s="860">
        <f>+'Analiza fin. pok.'!F62/'Analiza fin. pok.'!F$61*100</f>
        <v>0.33866995073891626</v>
      </c>
      <c r="G62" s="860">
        <f>+'Analiza fin. pok.'!G62/'Analiza fin. pok.'!G$61*100</f>
        <v>0.4558425675425267</v>
      </c>
      <c r="H62" s="860">
        <f>+'Analiza fin. pok.'!H62/'Analiza fin. pok.'!H$61*100</f>
        <v>0.48104455388844347</v>
      </c>
    </row>
    <row r="63" spans="1:8" ht="12.75">
      <c r="A63" s="954"/>
      <c r="B63" s="953" t="s">
        <v>535</v>
      </c>
      <c r="C63" s="958" t="s">
        <v>536</v>
      </c>
      <c r="D63" s="860">
        <f>+'Analiza fin. pok.'!D63/'Analiza fin. pok.'!D$61*100</f>
        <v>100</v>
      </c>
      <c r="E63" s="860">
        <f>+'Analiza fin. pok.'!E63/'Analiza fin. pok.'!E$61*100</f>
        <v>100</v>
      </c>
      <c r="F63" s="860">
        <f>+'Analiza fin. pok.'!F63/'Analiza fin. pok.'!F$61*100</f>
        <v>100.33866995073892</v>
      </c>
      <c r="G63" s="860">
        <f>+'Analiza fin. pok.'!G63/'Analiza fin. pok.'!G$61*100</f>
        <v>100.45584256754252</v>
      </c>
      <c r="H63" s="860">
        <f>+'Analiza fin. pok.'!H63/'Analiza fin. pok.'!H$61*100</f>
        <v>100.48104455388844</v>
      </c>
    </row>
    <row r="64" spans="1:8" ht="12.75">
      <c r="A64" s="954" t="s">
        <v>1136</v>
      </c>
      <c r="B64" s="944" t="s">
        <v>537</v>
      </c>
      <c r="C64" s="957" t="s">
        <v>538</v>
      </c>
      <c r="D64" s="860">
        <f>+'Analiza fin. pok.'!D64/'Analiza fin. pok.'!D$61*100</f>
        <v>3.015327391835839</v>
      </c>
      <c r="E64" s="860">
        <f>+'Analiza fin. pok.'!E64/'Analiza fin. pok.'!E$61*100</f>
        <v>0</v>
      </c>
      <c r="F64" s="860">
        <f>+'Analiza fin. pok.'!F64/'Analiza fin. pok.'!F$61*100</f>
        <v>0</v>
      </c>
      <c r="G64" s="860">
        <f>+'Analiza fin. pok.'!G64/'Analiza fin. pok.'!G$61*100</f>
        <v>0</v>
      </c>
      <c r="H64" s="860">
        <f>+'Analiza fin. pok.'!H64/'Analiza fin. pok.'!H$61*100</f>
        <v>0</v>
      </c>
    </row>
    <row r="65" spans="1:8" ht="12.75">
      <c r="A65" s="851"/>
      <c r="B65" s="930"/>
      <c r="C65" s="348"/>
      <c r="D65" s="979"/>
      <c r="E65" s="979"/>
      <c r="F65" s="979"/>
      <c r="G65" s="979"/>
      <c r="H65" s="979"/>
    </row>
    <row r="66" spans="1:8" ht="18">
      <c r="A66" s="851"/>
      <c r="B66" s="852"/>
      <c r="C66" s="851"/>
      <c r="D66" s="853" t="str">
        <f>+D4</f>
        <v>BILANS STANJA</v>
      </c>
      <c r="E66" s="853"/>
      <c r="F66" s="853"/>
      <c r="G66" s="832"/>
      <c r="H66" s="832"/>
    </row>
    <row r="67" spans="1:8" ht="12.75">
      <c r="A67" s="854"/>
      <c r="B67" s="832"/>
      <c r="C67" s="852"/>
      <c r="D67" s="832"/>
      <c r="E67" s="832"/>
      <c r="F67" s="832" t="str">
        <f>+'Analiza fin. pok.'!F67</f>
        <v>Pasiva</v>
      </c>
      <c r="G67" s="832"/>
      <c r="H67" s="832"/>
    </row>
    <row r="68" spans="1:8" ht="12.75">
      <c r="A68" s="838"/>
      <c r="B68" s="838"/>
      <c r="C68" s="838"/>
      <c r="D68" s="839">
        <f>+D6</f>
        <v>2002</v>
      </c>
      <c r="E68" s="839">
        <f>+E6</f>
        <v>2001</v>
      </c>
      <c r="F68" s="839">
        <f>+F6</f>
        <v>2000</v>
      </c>
      <c r="G68" s="839">
        <f>+G6</f>
        <v>1999</v>
      </c>
      <c r="H68" s="839">
        <f>+H6</f>
        <v>1998</v>
      </c>
    </row>
    <row r="69" spans="1:8" ht="38.25">
      <c r="A69" s="840" t="s">
        <v>539</v>
      </c>
      <c r="B69" s="841" t="s">
        <v>423</v>
      </c>
      <c r="C69" s="841" t="s">
        <v>424</v>
      </c>
      <c r="D69" s="838" t="str">
        <f>+'[3]Sreden bilans'!F68</f>
        <v>Neto</v>
      </c>
      <c r="E69" s="838" t="str">
        <f>+D69</f>
        <v>Neto</v>
      </c>
      <c r="F69" s="838" t="str">
        <f>+E69</f>
        <v>Neto</v>
      </c>
      <c r="G69" s="838" t="str">
        <f>+F69</f>
        <v>Neto</v>
      </c>
      <c r="H69" s="838" t="str">
        <f>+'[3]Sreden bilans'!J68</f>
        <v>Neto</v>
      </c>
    </row>
    <row r="70" spans="1:8" ht="12.75">
      <c r="A70" s="843">
        <v>1</v>
      </c>
      <c r="B70" s="843">
        <v>2</v>
      </c>
      <c r="C70" s="843">
        <v>3</v>
      </c>
      <c r="D70" s="838">
        <f>+D8</f>
        <v>4</v>
      </c>
      <c r="E70" s="838">
        <f>+E8</f>
        <v>5</v>
      </c>
      <c r="F70" s="838">
        <f>+F8</f>
        <v>6</v>
      </c>
      <c r="G70" s="838">
        <f>+G8</f>
        <v>7</v>
      </c>
      <c r="H70" s="838">
        <f>+H8</f>
        <v>8</v>
      </c>
    </row>
    <row r="71" spans="1:8" ht="25.5">
      <c r="A71" s="844"/>
      <c r="B71" s="845" t="s">
        <v>617</v>
      </c>
      <c r="C71" s="861" t="s">
        <v>200</v>
      </c>
      <c r="D71" s="860">
        <f>+'Analiza fin. pok.'!D71/'Analiza fin. pok.'!D$118*100</f>
        <v>81.41279476758157</v>
      </c>
      <c r="E71" s="860">
        <f>+'Analiza fin. pok.'!E71/'Analiza fin. pok.'!E$118*100</f>
        <v>90.03834478351175</v>
      </c>
      <c r="F71" s="860">
        <f>+'Analiza fin. pok.'!F71/'Analiza fin. pok.'!F$118*100</f>
        <v>90.70266953053083</v>
      </c>
      <c r="G71" s="860">
        <f>+'Analiza fin. pok.'!G71/'Analiza fin. pok.'!G$118*100</f>
        <v>86.91802552940308</v>
      </c>
      <c r="H71" s="860">
        <f>+'Analiza fin. pok.'!H71/'Analiza fin. pok.'!H$118*100</f>
        <v>89.45628633306737</v>
      </c>
    </row>
    <row r="72" spans="1:8" ht="12.75">
      <c r="A72" s="847"/>
      <c r="B72" s="848" t="s">
        <v>540</v>
      </c>
      <c r="C72" s="861" t="s">
        <v>201</v>
      </c>
      <c r="D72" s="860">
        <f>+'Analiza fin. pok.'!D72/'Analiza fin. pok.'!D$118*100</f>
        <v>52.50389192464816</v>
      </c>
      <c r="E72" s="860">
        <f>+'Analiza fin. pok.'!E72/'Analiza fin. pok.'!E$118*100</f>
        <v>66.90632156361505</v>
      </c>
      <c r="F72" s="860">
        <f>+'Analiza fin. pok.'!F72/'Analiza fin. pok.'!F$118*100</f>
        <v>90.70266953053083</v>
      </c>
      <c r="G72" s="860">
        <f>+'Analiza fin. pok.'!G72/'Analiza fin. pok.'!G$118*100</f>
        <v>86.91802552940308</v>
      </c>
      <c r="H72" s="860">
        <f>+'Analiza fin. pok.'!H72/'Analiza fin. pok.'!H$118*100</f>
        <v>89.45628633306737</v>
      </c>
    </row>
    <row r="73" spans="1:8" ht="12.75">
      <c r="A73" s="846" t="s">
        <v>1180</v>
      </c>
      <c r="B73" s="849" t="s">
        <v>541</v>
      </c>
      <c r="C73" s="846" t="s">
        <v>837</v>
      </c>
      <c r="D73" s="860">
        <f>+'Analiza fin. pok.'!D73/'Analiza fin. pok.'!D$118*100</f>
        <v>1.1764582963295755</v>
      </c>
      <c r="E73" s="860">
        <f>+'Analiza fin. pok.'!E73/'Analiza fin. pok.'!E$118*100</f>
        <v>1.4991745220216224</v>
      </c>
      <c r="F73" s="860">
        <f>+'Analiza fin. pok.'!F73/'Analiza fin. pok.'!F$118*100</f>
        <v>2.0323809180008303</v>
      </c>
      <c r="G73" s="860">
        <f>+'Analiza fin. pok.'!G73/'Analiza fin. pok.'!G$118*100</f>
        <v>1.9479082122039402</v>
      </c>
      <c r="H73" s="860">
        <f>+'Analiza fin. pok.'!H73/'Analiza fin. pok.'!H$118*100</f>
        <v>2.006155249059615</v>
      </c>
    </row>
    <row r="74" spans="1:8" ht="12.75">
      <c r="A74" s="846" t="s">
        <v>1181</v>
      </c>
      <c r="B74" s="849" t="s">
        <v>542</v>
      </c>
      <c r="C74" s="846" t="s">
        <v>202</v>
      </c>
      <c r="D74" s="860">
        <f>+'Analiza fin. pok.'!D74/'Analiza fin. pok.'!D$118*100</f>
        <v>0</v>
      </c>
      <c r="E74" s="860">
        <f>+'Analiza fin. pok.'!E74/'Analiza fin. pok.'!E$118*100</f>
        <v>0</v>
      </c>
      <c r="F74" s="860">
        <f>+'Analiza fin. pok.'!F74/'Analiza fin. pok.'!F$118*100</f>
        <v>0</v>
      </c>
      <c r="G74" s="860">
        <f>+'Analiza fin. pok.'!G74/'Analiza fin. pok.'!G$118*100</f>
        <v>0</v>
      </c>
      <c r="H74" s="860">
        <f>+'Analiza fin. pok.'!H74/'Analiza fin. pok.'!H$118*100</f>
        <v>0</v>
      </c>
    </row>
    <row r="75" spans="1:8" ht="25.5">
      <c r="A75" s="846" t="s">
        <v>543</v>
      </c>
      <c r="B75" s="850" t="s">
        <v>544</v>
      </c>
      <c r="C75" s="846" t="s">
        <v>1128</v>
      </c>
      <c r="D75" s="860">
        <f>+'Analiza fin. pok.'!D75/'Analiza fin. pok.'!D$118*100</f>
        <v>0</v>
      </c>
      <c r="E75" s="860">
        <f>+'Analiza fin. pok.'!E75/'Analiza fin. pok.'!E$118*100</f>
        <v>0</v>
      </c>
      <c r="F75" s="860">
        <f>+'Analiza fin. pok.'!F75/'Analiza fin. pok.'!F$118*100</f>
        <v>0</v>
      </c>
      <c r="G75" s="860">
        <f>+'Analiza fin. pok.'!G75/'Analiza fin. pok.'!G$118*100</f>
        <v>0</v>
      </c>
      <c r="H75" s="860">
        <f>+'Analiza fin. pok.'!H75/'Analiza fin. pok.'!H$118*100</f>
        <v>0</v>
      </c>
    </row>
    <row r="76" spans="1:8" ht="12.75">
      <c r="A76" s="846" t="s">
        <v>545</v>
      </c>
      <c r="B76" s="838" t="s">
        <v>546</v>
      </c>
      <c r="C76" s="846" t="s">
        <v>203</v>
      </c>
      <c r="D76" s="860">
        <f>+'Analiza fin. pok.'!D76/'Analiza fin. pok.'!D$118*100</f>
        <v>0</v>
      </c>
      <c r="E76" s="860">
        <f>+'Analiza fin. pok.'!E76/'Analiza fin. pok.'!E$118*100</f>
        <v>0</v>
      </c>
      <c r="F76" s="860">
        <f>+'Analiza fin. pok.'!F76/'Analiza fin. pok.'!F$118*100</f>
        <v>0</v>
      </c>
      <c r="G76" s="860">
        <f>+'Analiza fin. pok.'!G76/'Analiza fin. pok.'!G$118*100</f>
        <v>0</v>
      </c>
      <c r="H76" s="860">
        <f>+'Analiza fin. pok.'!H76/'Analiza fin. pok.'!H$118*100</f>
        <v>0</v>
      </c>
    </row>
    <row r="77" spans="1:8" ht="12.75">
      <c r="A77" s="846" t="s">
        <v>547</v>
      </c>
      <c r="B77" s="838" t="s">
        <v>548</v>
      </c>
      <c r="C77" s="846" t="s">
        <v>1126</v>
      </c>
      <c r="D77" s="860">
        <f>+'Analiza fin. pok.'!D77/'Analiza fin. pok.'!D$118*100</f>
        <v>0</v>
      </c>
      <c r="E77" s="860">
        <f>+'Analiza fin. pok.'!E77/'Analiza fin. pok.'!E$118*100</f>
        <v>0</v>
      </c>
      <c r="F77" s="860">
        <f>+'Analiza fin. pok.'!F77/'Analiza fin. pok.'!F$118*100</f>
        <v>0</v>
      </c>
      <c r="G77" s="860">
        <f>+'Analiza fin. pok.'!G77/'Analiza fin. pok.'!G$118*100</f>
        <v>0</v>
      </c>
      <c r="H77" s="860">
        <f>+'Analiza fin. pok.'!H77/'Analiza fin. pok.'!H$118*100</f>
        <v>0</v>
      </c>
    </row>
    <row r="78" spans="1:8" ht="12.75">
      <c r="A78" s="846" t="s">
        <v>1182</v>
      </c>
      <c r="B78" s="838" t="s">
        <v>549</v>
      </c>
      <c r="C78" s="846" t="s">
        <v>838</v>
      </c>
      <c r="D78" s="860">
        <f>+'Analiza fin. pok.'!D78/'Analiza fin. pok.'!D$118*100</f>
        <v>51.32743362831859</v>
      </c>
      <c r="E78" s="860">
        <f>+'Analiza fin. pok.'!E78/'Analiza fin. pok.'!E$118*100</f>
        <v>65.40714704159343</v>
      </c>
      <c r="F78" s="860">
        <f>+'Analiza fin. pok.'!F78/'Analiza fin. pok.'!F$118*100</f>
        <v>88.67028861253002</v>
      </c>
      <c r="G78" s="860">
        <f>+'Analiza fin. pok.'!G78/'Analiza fin. pok.'!G$118*100</f>
        <v>84.97011731719914</v>
      </c>
      <c r="H78" s="860">
        <f>+'Analiza fin. pok.'!H78/'Analiza fin. pok.'!H$118*100</f>
        <v>87.45013108400775</v>
      </c>
    </row>
    <row r="79" spans="1:8" ht="12.75">
      <c r="A79" s="846" t="s">
        <v>1183</v>
      </c>
      <c r="B79" s="838" t="s">
        <v>550</v>
      </c>
      <c r="C79" s="846" t="s">
        <v>1088</v>
      </c>
      <c r="D79" s="860">
        <f>+'Analiza fin. pok.'!D79/'Analiza fin. pok.'!D$118*100</f>
        <v>0</v>
      </c>
      <c r="E79" s="860">
        <f>+'Analiza fin. pok.'!E79/'Analiza fin. pok.'!E$118*100</f>
        <v>0</v>
      </c>
      <c r="F79" s="860">
        <f>+'Analiza fin. pok.'!F79/'Analiza fin. pok.'!F$118*100</f>
        <v>0</v>
      </c>
      <c r="G79" s="860">
        <f>+'Analiza fin. pok.'!G79/'Analiza fin. pok.'!G$118*100</f>
        <v>0</v>
      </c>
      <c r="H79" s="860">
        <f>+'Analiza fin. pok.'!H79/'Analiza fin. pok.'!H$118*100</f>
        <v>0</v>
      </c>
    </row>
    <row r="80" spans="1:8" ht="12.75">
      <c r="A80" s="846" t="s">
        <v>231</v>
      </c>
      <c r="B80" s="838" t="s">
        <v>551</v>
      </c>
      <c r="C80" s="846" t="s">
        <v>1130</v>
      </c>
      <c r="D80" s="860">
        <f>+'Analiza fin. pok.'!D80/'Analiza fin. pok.'!D$118*100</f>
        <v>0</v>
      </c>
      <c r="E80" s="860">
        <f>+'Analiza fin. pok.'!E80/'Analiza fin. pok.'!E$118*100</f>
        <v>0</v>
      </c>
      <c r="F80" s="860">
        <f>+'Analiza fin. pok.'!F80/'Analiza fin. pok.'!F$118*100</f>
        <v>0</v>
      </c>
      <c r="G80" s="860">
        <f>+'Analiza fin. pok.'!G80/'Analiza fin. pok.'!G$118*100</f>
        <v>0</v>
      </c>
      <c r="H80" s="860">
        <f>+'Analiza fin. pok.'!H80/'Analiza fin. pok.'!H$118*100</f>
        <v>0</v>
      </c>
    </row>
    <row r="81" spans="1:8" ht="12.75">
      <c r="A81" s="846" t="s">
        <v>232</v>
      </c>
      <c r="B81" s="838" t="s">
        <v>552</v>
      </c>
      <c r="C81" s="846" t="s">
        <v>1132</v>
      </c>
      <c r="D81" s="860">
        <f>+'Analiza fin. pok.'!D81/'Analiza fin. pok.'!D$118*100</f>
        <v>0</v>
      </c>
      <c r="E81" s="860">
        <f>+'Analiza fin. pok.'!E81/'Analiza fin. pok.'!E$118*100</f>
        <v>0</v>
      </c>
      <c r="F81" s="860">
        <f>+'Analiza fin. pok.'!F81/'Analiza fin. pok.'!F$118*100</f>
        <v>0</v>
      </c>
      <c r="G81" s="860">
        <f>+'Analiza fin. pok.'!G81/'Analiza fin. pok.'!G$118*100</f>
        <v>0</v>
      </c>
      <c r="H81" s="860">
        <f>+'Analiza fin. pok.'!H81/'Analiza fin. pok.'!H$118*100</f>
        <v>0</v>
      </c>
    </row>
    <row r="82" spans="1:8" ht="12.75">
      <c r="A82" s="846" t="s">
        <v>233</v>
      </c>
      <c r="B82" s="838" t="s">
        <v>553</v>
      </c>
      <c r="C82" s="846" t="s">
        <v>554</v>
      </c>
      <c r="D82" s="860">
        <f>+'Analiza fin. pok.'!D82/'Analiza fin. pok.'!D$118*100</f>
        <v>0</v>
      </c>
      <c r="E82" s="860">
        <f>+'Analiza fin. pok.'!E82/'Analiza fin. pok.'!E$118*100</f>
        <v>0</v>
      </c>
      <c r="F82" s="860">
        <f>+'Analiza fin. pok.'!F82/'Analiza fin. pok.'!F$118*100</f>
        <v>0</v>
      </c>
      <c r="G82" s="860">
        <f>+'Analiza fin. pok.'!G82/'Analiza fin. pok.'!G$118*100</f>
        <v>0</v>
      </c>
      <c r="H82" s="860">
        <f>+'Analiza fin. pok.'!H82/'Analiza fin. pok.'!H$118*100</f>
        <v>0</v>
      </c>
    </row>
    <row r="83" spans="1:8" ht="12.75">
      <c r="A83" s="846" t="s">
        <v>1118</v>
      </c>
      <c r="B83" s="848" t="s">
        <v>555</v>
      </c>
      <c r="C83" s="861" t="s">
        <v>839</v>
      </c>
      <c r="D83" s="860">
        <f>+'Analiza fin. pok.'!D83/'Analiza fin. pok.'!D$118*100</f>
        <v>0</v>
      </c>
      <c r="E83" s="860">
        <f>+'Analiza fin. pok.'!E83/'Analiza fin. pok.'!E$118*100</f>
        <v>0</v>
      </c>
      <c r="F83" s="860">
        <f>+'Analiza fin. pok.'!F83/'Analiza fin. pok.'!F$118*100</f>
        <v>0</v>
      </c>
      <c r="G83" s="860">
        <f>+'Analiza fin. pok.'!G83/'Analiza fin. pok.'!G$118*100</f>
        <v>0</v>
      </c>
      <c r="H83" s="860">
        <f>+'Analiza fin. pok.'!H83/'Analiza fin. pok.'!H$118*100</f>
        <v>0</v>
      </c>
    </row>
    <row r="84" spans="1:8" ht="12.75">
      <c r="A84" s="846" t="s">
        <v>234</v>
      </c>
      <c r="B84" s="838" t="s">
        <v>556</v>
      </c>
      <c r="C84" s="846" t="s">
        <v>557</v>
      </c>
      <c r="D84" s="860">
        <f>+'Analiza fin. pok.'!D84/'Analiza fin. pok.'!D$118*100</f>
        <v>0</v>
      </c>
      <c r="E84" s="860">
        <f>+'Analiza fin. pok.'!E84/'Analiza fin. pok.'!E$118*100</f>
        <v>0</v>
      </c>
      <c r="F84" s="860">
        <f>+'Analiza fin. pok.'!F84/'Analiza fin. pok.'!F$118*100</f>
        <v>0</v>
      </c>
      <c r="G84" s="860">
        <f>+'Analiza fin. pok.'!G84/'Analiza fin. pok.'!G$118*100</f>
        <v>0</v>
      </c>
      <c r="H84" s="860">
        <f>+'Analiza fin. pok.'!H84/'Analiza fin. pok.'!H$118*100</f>
        <v>0</v>
      </c>
    </row>
    <row r="85" spans="1:8" ht="12.75">
      <c r="A85" s="846" t="s">
        <v>235</v>
      </c>
      <c r="B85" s="838" t="s">
        <v>558</v>
      </c>
      <c r="C85" s="846" t="s">
        <v>205</v>
      </c>
      <c r="D85" s="860">
        <f>+'Analiza fin. pok.'!D85/'Analiza fin. pok.'!D$118*100</f>
        <v>28.908902842933415</v>
      </c>
      <c r="E85" s="860">
        <f>+'Analiza fin. pok.'!E85/'Analiza fin. pok.'!E$118*100</f>
        <v>23.132023219896684</v>
      </c>
      <c r="F85" s="860">
        <f>+'Analiza fin. pok.'!F85/'Analiza fin. pok.'!F$118*100</f>
        <v>0</v>
      </c>
      <c r="G85" s="860">
        <f>+'Analiza fin. pok.'!G85/'Analiza fin. pok.'!G$118*100</f>
        <v>0</v>
      </c>
      <c r="H85" s="860">
        <f>+'Analiza fin. pok.'!H85/'Analiza fin. pok.'!H$118*100</f>
        <v>0</v>
      </c>
    </row>
    <row r="86" spans="1:8" ht="12.75">
      <c r="A86" s="351" t="s">
        <v>1492</v>
      </c>
      <c r="B86" s="377" t="s">
        <v>1493</v>
      </c>
      <c r="C86" s="855">
        <f>+C85+1</f>
        <v>116</v>
      </c>
      <c r="D86" s="860">
        <f>+'Analiza fin. pok.'!D86/'Analiza fin. pok.'!D$118*100</f>
        <v>0</v>
      </c>
      <c r="E86" s="860">
        <f>+'Analiza fin. pok.'!E86/'Analiza fin. pok.'!E$118*100</f>
        <v>0</v>
      </c>
      <c r="F86" s="860">
        <f>+'Analiza fin. pok.'!F86/'Analiza fin. pok.'!F$118*100</f>
        <v>0</v>
      </c>
      <c r="G86" s="860">
        <f>+'Analiza fin. pok.'!G86/'Analiza fin. pok.'!G$118*100</f>
        <v>0</v>
      </c>
      <c r="H86" s="860">
        <f>+'Analiza fin. pok.'!H86/'Analiza fin. pok.'!H$118*100</f>
        <v>0</v>
      </c>
    </row>
    <row r="87" spans="1:8" ht="12.75">
      <c r="A87" s="846" t="s">
        <v>1119</v>
      </c>
      <c r="B87" s="838" t="s">
        <v>559</v>
      </c>
      <c r="C87" s="846" t="s">
        <v>206</v>
      </c>
      <c r="D87" s="860">
        <f>+'Analiza fin. pok.'!D87/'Analiza fin. pok.'!D$118*100</f>
        <v>0.7230098943695082</v>
      </c>
      <c r="E87" s="860">
        <f>+'Analiza fin. pok.'!E87/'Analiza fin. pok.'!E$118*100</f>
        <v>0</v>
      </c>
      <c r="F87" s="860">
        <f>+'Analiza fin. pok.'!F87/'Analiza fin. pok.'!F$118*100</f>
        <v>0</v>
      </c>
      <c r="G87" s="860">
        <f>+'Analiza fin. pok.'!G87/'Analiza fin. pok.'!G$118*100</f>
        <v>0</v>
      </c>
      <c r="H87" s="860">
        <f>+'Analiza fin. pok.'!H87/'Analiza fin. pok.'!H$118*100</f>
        <v>0</v>
      </c>
    </row>
    <row r="88" spans="1:8" ht="12.75">
      <c r="A88" s="846" t="s">
        <v>199</v>
      </c>
      <c r="B88" s="838" t="s">
        <v>560</v>
      </c>
      <c r="C88" s="846" t="s">
        <v>1085</v>
      </c>
      <c r="D88" s="860">
        <f>+'Analiza fin. pok.'!D88/'Analiza fin. pok.'!D$118*100</f>
        <v>28.185892948563907</v>
      </c>
      <c r="E88" s="860">
        <f>+'Analiza fin. pok.'!E88/'Analiza fin. pok.'!E$118*100</f>
        <v>23.132023219896684</v>
      </c>
      <c r="F88" s="860">
        <f>+'Analiza fin. pok.'!F88/'Analiza fin. pok.'!F$118*100</f>
        <v>0</v>
      </c>
      <c r="G88" s="860">
        <f>+'Analiza fin. pok.'!G88/'Analiza fin. pok.'!G$118*100</f>
        <v>0</v>
      </c>
      <c r="H88" s="860">
        <f>+'Analiza fin. pok.'!H88/'Analiza fin. pok.'!H$118*100</f>
        <v>0</v>
      </c>
    </row>
    <row r="89" spans="1:8" ht="12.75">
      <c r="A89" s="846" t="s">
        <v>561</v>
      </c>
      <c r="B89" s="838" t="s">
        <v>562</v>
      </c>
      <c r="C89" s="846" t="s">
        <v>207</v>
      </c>
      <c r="D89" s="860">
        <f>+'Analiza fin. pok.'!D89/'Analiza fin. pok.'!D$118*100</f>
        <v>0</v>
      </c>
      <c r="E89" s="860">
        <f>+'Analiza fin. pok.'!E89/'Analiza fin. pok.'!E$118*100</f>
        <v>0</v>
      </c>
      <c r="F89" s="860">
        <f>+'Analiza fin. pok.'!F89/'Analiza fin. pok.'!F$118*100</f>
        <v>0</v>
      </c>
      <c r="G89" s="860">
        <f>+'Analiza fin. pok.'!G89/'Analiza fin. pok.'!G$118*100</f>
        <v>0</v>
      </c>
      <c r="H89" s="860">
        <f>+'Analiza fin. pok.'!H89/'Analiza fin. pok.'!H$118*100</f>
        <v>0</v>
      </c>
    </row>
    <row r="90" spans="1:20" ht="12.75">
      <c r="A90" s="846" t="s">
        <v>1300</v>
      </c>
      <c r="B90" s="856" t="s">
        <v>1301</v>
      </c>
      <c r="C90" s="862">
        <f>+C89+1</f>
        <v>119</v>
      </c>
      <c r="D90" s="860">
        <f>+'Analiza fin. pok.'!D90/'Analiza fin. pok.'!D$118*100</f>
        <v>0</v>
      </c>
      <c r="E90" s="860">
        <f>+'Analiza fin. pok.'!E90/'Analiza fin. pok.'!E$118*100</f>
        <v>0</v>
      </c>
      <c r="F90" s="860">
        <f>+'Analiza fin. pok.'!F90/'Analiza fin. pok.'!F$118*100</f>
        <v>0</v>
      </c>
      <c r="G90" s="860">
        <f>+'Analiza fin. pok.'!G90/'Analiza fin. pok.'!G$118*100</f>
        <v>0</v>
      </c>
      <c r="H90" s="860">
        <f>+'Analiza fin. pok.'!H90/'Analiza fin. pok.'!H$118*100</f>
        <v>0</v>
      </c>
      <c r="I90" s="833"/>
      <c r="J90" s="833"/>
      <c r="K90" s="833"/>
      <c r="L90" s="833"/>
      <c r="M90" s="833"/>
      <c r="N90" s="833"/>
      <c r="O90" s="833"/>
      <c r="P90" s="833"/>
      <c r="Q90" s="833"/>
      <c r="R90" s="833"/>
      <c r="S90" s="833"/>
      <c r="T90" s="833"/>
    </row>
    <row r="91" spans="1:8" ht="12.75">
      <c r="A91" s="846"/>
      <c r="B91" s="848" t="s">
        <v>563</v>
      </c>
      <c r="C91" s="862">
        <f aca="true" t="shared" si="0" ref="C91:C119">+C90+1</f>
        <v>120</v>
      </c>
      <c r="D91" s="860">
        <f>+'Analiza fin. pok.'!D91/'Analiza fin. pok.'!D$118*100</f>
        <v>0</v>
      </c>
      <c r="E91" s="860">
        <f>+'Analiza fin. pok.'!E91/'Analiza fin. pok.'!E$118*100</f>
        <v>0</v>
      </c>
      <c r="F91" s="860">
        <f>+'Analiza fin. pok.'!F91/'Analiza fin. pok.'!F$118*100</f>
        <v>0</v>
      </c>
      <c r="G91" s="860">
        <f>+'Analiza fin. pok.'!G91/'Analiza fin. pok.'!G$118*100</f>
        <v>0</v>
      </c>
      <c r="H91" s="860">
        <f>+'Analiza fin. pok.'!H91/'Analiza fin. pok.'!H$118*100</f>
        <v>0</v>
      </c>
    </row>
    <row r="92" spans="1:8" ht="12.75">
      <c r="A92" s="846" t="s">
        <v>564</v>
      </c>
      <c r="B92" s="838" t="s">
        <v>565</v>
      </c>
      <c r="C92" s="862">
        <f t="shared" si="0"/>
        <v>121</v>
      </c>
      <c r="D92" s="860">
        <f>+'Analiza fin. pok.'!D92/'Analiza fin. pok.'!D$118*100</f>
        <v>0</v>
      </c>
      <c r="E92" s="860">
        <f>+'Analiza fin. pok.'!E92/'Analiza fin. pok.'!E$118*100</f>
        <v>0</v>
      </c>
      <c r="F92" s="860">
        <f>+'Analiza fin. pok.'!F92/'Analiza fin. pok.'!F$118*100</f>
        <v>0</v>
      </c>
      <c r="G92" s="860">
        <f>+'Analiza fin. pok.'!G92/'Analiza fin. pok.'!G$118*100</f>
        <v>0</v>
      </c>
      <c r="H92" s="860">
        <f>+'Analiza fin. pok.'!H92/'Analiza fin. pok.'!H$118*100</f>
        <v>0</v>
      </c>
    </row>
    <row r="93" spans="1:8" ht="12.75">
      <c r="A93" s="846" t="s">
        <v>566</v>
      </c>
      <c r="B93" s="838" t="s">
        <v>1494</v>
      </c>
      <c r="C93" s="862">
        <f t="shared" si="0"/>
        <v>122</v>
      </c>
      <c r="D93" s="860">
        <f>+'Analiza fin. pok.'!D93/'Analiza fin. pok.'!D$118*100</f>
        <v>0</v>
      </c>
      <c r="E93" s="860">
        <f>+'Analiza fin. pok.'!E93/'Analiza fin. pok.'!E$118*100</f>
        <v>0</v>
      </c>
      <c r="F93" s="860">
        <f>+'Analiza fin. pok.'!F93/'Analiza fin. pok.'!F$118*100</f>
        <v>0</v>
      </c>
      <c r="G93" s="860">
        <f>+'Analiza fin. pok.'!G93/'Analiza fin. pok.'!G$118*100</f>
        <v>0</v>
      </c>
      <c r="H93" s="860">
        <f>+'Analiza fin. pok.'!H93/'Analiza fin. pok.'!H$118*100</f>
        <v>0</v>
      </c>
    </row>
    <row r="94" spans="1:8" ht="12.75">
      <c r="A94" s="846" t="s">
        <v>568</v>
      </c>
      <c r="B94" s="838" t="s">
        <v>0</v>
      </c>
      <c r="C94" s="862">
        <f t="shared" si="0"/>
        <v>123</v>
      </c>
      <c r="D94" s="860">
        <f>+'Analiza fin. pok.'!D94/'Analiza fin. pok.'!D$118*100</f>
        <v>18.587205232418427</v>
      </c>
      <c r="E94" s="860">
        <f>+'Analiza fin. pok.'!E94/'Analiza fin. pok.'!E$118*100</f>
        <v>9.831176439260798</v>
      </c>
      <c r="F94" s="860">
        <f>+'Analiza fin. pok.'!F94/'Analiza fin. pok.'!F$118*100</f>
        <v>8.95980362074256</v>
      </c>
      <c r="G94" s="860">
        <f>+'Analiza fin. pok.'!G94/'Analiza fin. pok.'!G$118*100</f>
        <v>12.628200398435771</v>
      </c>
      <c r="H94" s="860">
        <f>+'Analiza fin. pok.'!H94/'Analiza fin. pok.'!H$118*100</f>
        <v>10.064972073407045</v>
      </c>
    </row>
    <row r="95" spans="1:8" ht="12.75">
      <c r="A95" s="846" t="s">
        <v>569</v>
      </c>
      <c r="B95" s="838" t="s">
        <v>570</v>
      </c>
      <c r="C95" s="862">
        <f t="shared" si="0"/>
        <v>124</v>
      </c>
      <c r="D95" s="860">
        <f>+'Analiza fin. pok.'!D95/'Analiza fin. pok.'!D$118*100</f>
        <v>4.680757697652307</v>
      </c>
      <c r="E95" s="860">
        <f>+'Analiza fin. pok.'!E95/'Analiza fin. pok.'!E$118*100</f>
        <v>0</v>
      </c>
      <c r="F95" s="860">
        <f>+'Analiza fin. pok.'!F95/'Analiza fin. pok.'!F$118*100</f>
        <v>0</v>
      </c>
      <c r="G95" s="860">
        <f>+'Analiza fin. pok.'!G95/'Analiza fin. pok.'!G$118*100</f>
        <v>0</v>
      </c>
      <c r="H95" s="860">
        <f>+'Analiza fin. pok.'!H95/'Analiza fin. pok.'!H$118*100</f>
        <v>0</v>
      </c>
    </row>
    <row r="96" spans="1:8" ht="12.75">
      <c r="A96" s="846"/>
      <c r="B96" s="848" t="s">
        <v>571</v>
      </c>
      <c r="C96" s="862">
        <f t="shared" si="0"/>
        <v>125</v>
      </c>
      <c r="D96" s="860">
        <f>+'Analiza fin. pok.'!D96/'Analiza fin. pok.'!D$118*100</f>
        <v>0</v>
      </c>
      <c r="E96" s="860">
        <f>+'Analiza fin. pok.'!E96/'Analiza fin. pok.'!E$118*100</f>
        <v>0</v>
      </c>
      <c r="F96" s="860">
        <f>+'Analiza fin. pok.'!F96/'Analiza fin. pok.'!F$118*100</f>
        <v>0</v>
      </c>
      <c r="G96" s="860">
        <f>+'Analiza fin. pok.'!G96/'Analiza fin. pok.'!G$118*100</f>
        <v>0</v>
      </c>
      <c r="H96" s="860">
        <f>+'Analiza fin. pok.'!H96/'Analiza fin. pok.'!H$118*100</f>
        <v>0</v>
      </c>
    </row>
    <row r="97" spans="1:8" ht="12.75">
      <c r="A97" s="846"/>
      <c r="B97" s="848" t="s">
        <v>572</v>
      </c>
      <c r="C97" s="862">
        <f t="shared" si="0"/>
        <v>126</v>
      </c>
      <c r="D97" s="860">
        <f>+'Analiza fin. pok.'!D97/'Analiza fin. pok.'!D$118*100</f>
        <v>0</v>
      </c>
      <c r="E97" s="860">
        <f>+'Analiza fin. pok.'!E97/'Analiza fin. pok.'!E$118*100</f>
        <v>0</v>
      </c>
      <c r="F97" s="860">
        <f>+'Analiza fin. pok.'!F97/'Analiza fin. pok.'!F$118*100</f>
        <v>0</v>
      </c>
      <c r="G97" s="860">
        <f>+'Analiza fin. pok.'!G97/'Analiza fin. pok.'!G$118*100</f>
        <v>0</v>
      </c>
      <c r="H97" s="860">
        <f>+'Analiza fin. pok.'!H97/'Analiza fin. pok.'!H$118*100</f>
        <v>0</v>
      </c>
    </row>
    <row r="98" spans="1:8" ht="12.75">
      <c r="A98" s="846" t="s">
        <v>573</v>
      </c>
      <c r="B98" s="838" t="s">
        <v>574</v>
      </c>
      <c r="C98" s="862">
        <f t="shared" si="0"/>
        <v>127</v>
      </c>
      <c r="D98" s="860">
        <f>+'Analiza fin. pok.'!D98/'Analiza fin. pok.'!D$118*100</f>
        <v>0</v>
      </c>
      <c r="E98" s="860">
        <f>+'Analiza fin. pok.'!E98/'Analiza fin. pok.'!E$118*100</f>
        <v>0</v>
      </c>
      <c r="F98" s="860">
        <f>+'Analiza fin. pok.'!F98/'Analiza fin. pok.'!F$118*100</f>
        <v>0</v>
      </c>
      <c r="G98" s="860">
        <f>+'Analiza fin. pok.'!G98/'Analiza fin. pok.'!G$118*100</f>
        <v>0</v>
      </c>
      <c r="H98" s="860">
        <f>+'Analiza fin. pok.'!H98/'Analiza fin. pok.'!H$118*100</f>
        <v>0</v>
      </c>
    </row>
    <row r="99" spans="1:8" ht="12.75">
      <c r="A99" s="846" t="s">
        <v>576</v>
      </c>
      <c r="B99" s="838" t="s">
        <v>577</v>
      </c>
      <c r="C99" s="862">
        <f t="shared" si="0"/>
        <v>128</v>
      </c>
      <c r="D99" s="860">
        <f>+'Analiza fin. pok.'!D99/'Analiza fin. pok.'!D$118*100</f>
        <v>4.680757697652307</v>
      </c>
      <c r="E99" s="860">
        <f>+'Analiza fin. pok.'!E99/'Analiza fin. pok.'!E$118*100</f>
        <v>0</v>
      </c>
      <c r="F99" s="860">
        <f>+'Analiza fin. pok.'!F99/'Analiza fin. pok.'!F$118*100</f>
        <v>0</v>
      </c>
      <c r="G99" s="860">
        <f>+'Analiza fin. pok.'!G99/'Analiza fin. pok.'!G$118*100</f>
        <v>0</v>
      </c>
      <c r="H99" s="860">
        <f>+'Analiza fin. pok.'!H99/'Analiza fin. pok.'!H$118*100</f>
        <v>0</v>
      </c>
    </row>
    <row r="100" spans="1:8" ht="12.75">
      <c r="A100" s="846" t="s">
        <v>579</v>
      </c>
      <c r="B100" s="838" t="s">
        <v>580</v>
      </c>
      <c r="C100" s="862">
        <f t="shared" si="0"/>
        <v>129</v>
      </c>
      <c r="D100" s="860">
        <f>+'Analiza fin. pok.'!D100/'Analiza fin. pok.'!D$118*100</f>
        <v>0</v>
      </c>
      <c r="E100" s="860">
        <f>+'Analiza fin. pok.'!E100/'Analiza fin. pok.'!E$118*100</f>
        <v>0</v>
      </c>
      <c r="F100" s="860">
        <f>+'Analiza fin. pok.'!F100/'Analiza fin. pok.'!F$118*100</f>
        <v>0</v>
      </c>
      <c r="G100" s="860">
        <f>+'Analiza fin. pok.'!G100/'Analiza fin. pok.'!G$118*100</f>
        <v>0</v>
      </c>
      <c r="H100" s="860">
        <f>+'Analiza fin. pok.'!H100/'Analiza fin. pok.'!H$118*100</f>
        <v>0</v>
      </c>
    </row>
    <row r="101" spans="1:8" ht="12.75">
      <c r="A101" s="846" t="s">
        <v>582</v>
      </c>
      <c r="B101" s="838" t="s">
        <v>583</v>
      </c>
      <c r="C101" s="862">
        <f t="shared" si="0"/>
        <v>130</v>
      </c>
      <c r="D101" s="860">
        <f>+'Analiza fin. pok.'!D101/'Analiza fin. pok.'!D$118*100</f>
        <v>13.90644753476612</v>
      </c>
      <c r="E101" s="860">
        <f>+'Analiza fin. pok.'!E101/'Analiza fin. pok.'!E$118*100</f>
        <v>9.831176439260798</v>
      </c>
      <c r="F101" s="860">
        <f>+'Analiza fin. pok.'!F101/'Analiza fin. pok.'!F$118*100</f>
        <v>8.95980362074256</v>
      </c>
      <c r="G101" s="860">
        <f>+'Analiza fin. pok.'!G101/'Analiza fin. pok.'!G$118*100</f>
        <v>12.628200398435771</v>
      </c>
      <c r="H101" s="860">
        <f>+'Analiza fin. pok.'!H101/'Analiza fin. pok.'!H$118*100</f>
        <v>10.064972073407045</v>
      </c>
    </row>
    <row r="102" spans="1:8" ht="12.75">
      <c r="A102" s="846" t="s">
        <v>157</v>
      </c>
      <c r="B102" s="838" t="s">
        <v>585</v>
      </c>
      <c r="C102" s="862">
        <f t="shared" si="0"/>
        <v>131</v>
      </c>
      <c r="D102" s="860">
        <f>+'Analiza fin. pok.'!D102/'Analiza fin. pok.'!D$118*100</f>
        <v>0</v>
      </c>
      <c r="E102" s="860">
        <f>+'Analiza fin. pok.'!E102/'Analiza fin. pok.'!E$118*100</f>
        <v>0</v>
      </c>
      <c r="F102" s="860">
        <f>+'Analiza fin. pok.'!F102/'Analiza fin. pok.'!F$118*100</f>
        <v>0</v>
      </c>
      <c r="G102" s="860">
        <f>+'Analiza fin. pok.'!G102/'Analiza fin. pok.'!G$118*100</f>
        <v>0</v>
      </c>
      <c r="H102" s="860">
        <f>+'Analiza fin. pok.'!H102/'Analiza fin. pok.'!H$118*100</f>
        <v>0</v>
      </c>
    </row>
    <row r="103" spans="1:8" ht="12.75">
      <c r="A103" s="846"/>
      <c r="B103" s="848" t="s">
        <v>587</v>
      </c>
      <c r="C103" s="862">
        <f t="shared" si="0"/>
        <v>132</v>
      </c>
      <c r="D103" s="860">
        <f>+'Analiza fin. pok.'!D103/'Analiza fin. pok.'!D$118*100</f>
        <v>13.90644753476612</v>
      </c>
      <c r="E103" s="860">
        <f>+'Analiza fin. pok.'!E103/'Analiza fin. pok.'!E$118*100</f>
        <v>0</v>
      </c>
      <c r="F103" s="860">
        <f>+'Analiza fin. pok.'!F103/'Analiza fin. pok.'!F$118*100</f>
        <v>0</v>
      </c>
      <c r="G103" s="860">
        <f>+'Analiza fin. pok.'!G103/'Analiza fin. pok.'!G$118*100</f>
        <v>0</v>
      </c>
      <c r="H103" s="860">
        <f>+'Analiza fin. pok.'!H103/'Analiza fin. pok.'!H$118*100</f>
        <v>42.08366579277328</v>
      </c>
    </row>
    <row r="104" spans="1:8" ht="12.75">
      <c r="A104" s="846" t="s">
        <v>589</v>
      </c>
      <c r="B104" s="849" t="s">
        <v>590</v>
      </c>
      <c r="C104" s="862">
        <f t="shared" si="0"/>
        <v>133</v>
      </c>
      <c r="D104" s="860">
        <f>+'Analiza fin. pok.'!D104/'Analiza fin. pok.'!D$118*100</f>
        <v>0</v>
      </c>
      <c r="E104" s="860">
        <f>+'Analiza fin. pok.'!E104/'Analiza fin. pok.'!E$118*100</f>
        <v>0</v>
      </c>
      <c r="F104" s="860">
        <f>+'Analiza fin. pok.'!F104/'Analiza fin. pok.'!F$118*100</f>
        <v>0</v>
      </c>
      <c r="G104" s="860">
        <f>+'Analiza fin. pok.'!G104/'Analiza fin. pok.'!G$118*100</f>
        <v>0</v>
      </c>
      <c r="H104" s="860">
        <f>+'Analiza fin. pok.'!H104/'Analiza fin. pok.'!H$118*100</f>
        <v>0</v>
      </c>
    </row>
    <row r="105" spans="1:8" ht="12.75">
      <c r="A105" s="846" t="s">
        <v>592</v>
      </c>
      <c r="B105" s="838" t="s">
        <v>891</v>
      </c>
      <c r="C105" s="862">
        <f t="shared" si="0"/>
        <v>134</v>
      </c>
      <c r="D105" s="860">
        <f>+'Analiza fin. pok.'!D105/'Analiza fin. pok.'!D$118*100</f>
        <v>0.06059909519282005</v>
      </c>
      <c r="E105" s="860">
        <f>+'Analiza fin. pok.'!E105/'Analiza fin. pok.'!E$118*100</f>
        <v>0.21702082334771264</v>
      </c>
      <c r="F105" s="860">
        <f>+'Analiza fin. pok.'!F105/'Analiza fin. pok.'!F$118*100</f>
        <v>1.0504846307961664</v>
      </c>
      <c r="G105" s="860">
        <f>+'Analiza fin. pok.'!G105/'Analiza fin. pok.'!G$118*100</f>
        <v>2.397993064266214</v>
      </c>
      <c r="H105" s="860">
        <f>+'Analiza fin. pok.'!H105/'Analiza fin. pok.'!H$118*100</f>
        <v>0.11968539838139747</v>
      </c>
    </row>
    <row r="106" spans="1:8" ht="12.75">
      <c r="A106" s="846" t="s">
        <v>893</v>
      </c>
      <c r="B106" s="838" t="s">
        <v>894</v>
      </c>
      <c r="C106" s="862">
        <f t="shared" si="0"/>
        <v>135</v>
      </c>
      <c r="D106" s="860">
        <f>+'Analiza fin. pok.'!D106/'Analiza fin. pok.'!D$118*100</f>
        <v>0</v>
      </c>
      <c r="E106" s="860">
        <f>+'Analiza fin. pok.'!E106/'Analiza fin. pok.'!E$118*100</f>
        <v>0</v>
      </c>
      <c r="F106" s="860">
        <f>+'Analiza fin. pok.'!F106/'Analiza fin. pok.'!F$118*100</f>
        <v>0</v>
      </c>
      <c r="G106" s="860">
        <f>+'Analiza fin. pok.'!G106/'Analiza fin. pok.'!G$118*100</f>
        <v>0</v>
      </c>
      <c r="H106" s="860">
        <f>+'Analiza fin. pok.'!H106/'Analiza fin. pok.'!H$118*100</f>
        <v>0</v>
      </c>
    </row>
    <row r="107" spans="1:8" ht="12.75">
      <c r="A107" s="846" t="s">
        <v>158</v>
      </c>
      <c r="B107" s="838" t="s">
        <v>896</v>
      </c>
      <c r="C107" s="862">
        <f t="shared" si="0"/>
        <v>136</v>
      </c>
      <c r="D107" s="860">
        <f>+'Analiza fin. pok.'!D107/'Analiza fin. pok.'!D$118*100</f>
        <v>10.199454608143265</v>
      </c>
      <c r="E107" s="860">
        <f>+'Analiza fin. pok.'!E107/'Analiza fin. pok.'!E$118*100</f>
        <v>7.5970602332640995</v>
      </c>
      <c r="F107" s="860">
        <f>+'Analiza fin. pok.'!F107/'Analiza fin. pok.'!F$118*100</f>
        <v>5.8751331155352595</v>
      </c>
      <c r="G107" s="860">
        <f>+'Analiza fin. pok.'!G107/'Analiza fin. pok.'!G$118*100</f>
        <v>7.802700509112373</v>
      </c>
      <c r="H107" s="860">
        <f>+'Analiza fin. pok.'!H107/'Analiza fin. pok.'!H$118*100</f>
        <v>6.844864926478969</v>
      </c>
    </row>
    <row r="108" spans="1:8" ht="12.75">
      <c r="A108" s="846" t="s">
        <v>159</v>
      </c>
      <c r="B108" s="838" t="s">
        <v>898</v>
      </c>
      <c r="C108" s="862">
        <f t="shared" si="0"/>
        <v>137</v>
      </c>
      <c r="D108" s="860">
        <f>+'Analiza fin. pok.'!D108/'Analiza fin. pok.'!D$118*100</f>
        <v>0</v>
      </c>
      <c r="E108" s="860">
        <f>+'Analiza fin. pok.'!E108/'Analiza fin. pok.'!E$118*100</f>
        <v>0</v>
      </c>
      <c r="F108" s="860">
        <f>+'Analiza fin. pok.'!F108/'Analiza fin. pok.'!F$118*100</f>
        <v>0</v>
      </c>
      <c r="G108" s="860">
        <f>+'Analiza fin. pok.'!G108/'Analiza fin. pok.'!G$118*100</f>
        <v>0</v>
      </c>
      <c r="H108" s="860">
        <f>+'Analiza fin. pok.'!H108/'Analiza fin. pok.'!H$118*100</f>
        <v>0</v>
      </c>
    </row>
    <row r="109" spans="1:8" ht="12.75">
      <c r="A109" s="846" t="s">
        <v>899</v>
      </c>
      <c r="B109" s="838" t="s">
        <v>900</v>
      </c>
      <c r="C109" s="862">
        <f t="shared" si="0"/>
        <v>138</v>
      </c>
      <c r="D109" s="860">
        <f>+'Analiza fin. pok.'!D109/'Analiza fin. pok.'!D$118*100</f>
        <v>0</v>
      </c>
      <c r="E109" s="860">
        <f>+'Analiza fin. pok.'!E109/'Analiza fin. pok.'!E$118*100</f>
        <v>0</v>
      </c>
      <c r="F109" s="860">
        <f>+'Analiza fin. pok.'!F109/'Analiza fin. pok.'!F$118*100</f>
        <v>0</v>
      </c>
      <c r="G109" s="860">
        <f>+'Analiza fin. pok.'!G109/'Analiza fin. pok.'!G$118*100</f>
        <v>0</v>
      </c>
      <c r="H109" s="860">
        <f>+'Analiza fin. pok.'!H109/'Analiza fin. pok.'!H$118*100</f>
        <v>0</v>
      </c>
    </row>
    <row r="110" spans="1:8" ht="12.75">
      <c r="A110" s="846" t="s">
        <v>901</v>
      </c>
      <c r="B110" s="849" t="s">
        <v>902</v>
      </c>
      <c r="C110" s="862">
        <f t="shared" si="0"/>
        <v>139</v>
      </c>
      <c r="D110" s="860">
        <f>+'Analiza fin. pok.'!D110/'Analiza fin. pok.'!D$118*100</f>
        <v>1.9757394656831504</v>
      </c>
      <c r="E110" s="860">
        <f>+'Analiza fin. pok.'!E110/'Analiza fin. pok.'!E$118*100</f>
        <v>0.9519625073227886</v>
      </c>
      <c r="F110" s="860">
        <f>+'Analiza fin. pok.'!F110/'Analiza fin. pok.'!F$118*100</f>
        <v>0.7454469974550114</v>
      </c>
      <c r="G110" s="860">
        <f>+'Analiza fin. pok.'!G110/'Analiza fin. pok.'!G$118*100</f>
        <v>0.8558990629380949</v>
      </c>
      <c r="H110" s="860">
        <f>+'Analiza fin. pok.'!H110/'Analiza fin. pok.'!H$118*100</f>
        <v>1.3222386868802007</v>
      </c>
    </row>
    <row r="111" spans="1:8" ht="12.75">
      <c r="A111" s="846" t="s">
        <v>1120</v>
      </c>
      <c r="B111" s="838" t="s">
        <v>903</v>
      </c>
      <c r="C111" s="862">
        <f t="shared" si="0"/>
        <v>140</v>
      </c>
      <c r="D111" s="860">
        <f>+'Analiza fin. pok.'!D111/'Analiza fin. pok.'!D$118*100</f>
        <v>1.5996071506932326</v>
      </c>
      <c r="E111" s="860">
        <f>+'Analiza fin. pok.'!E111/'Analiza fin. pok.'!E$118*100</f>
        <v>0.9998934867124674</v>
      </c>
      <c r="F111" s="860">
        <f>+'Analiza fin. pok.'!F111/'Analiza fin. pok.'!F$118*100</f>
        <v>1.13351262567009</v>
      </c>
      <c r="G111" s="860">
        <f>+'Analiza fin. pok.'!G111/'Analiza fin. pok.'!G$118*100</f>
        <v>1.3723898767800486</v>
      </c>
      <c r="H111" s="860">
        <f>+'Analiza fin. pok.'!H111/'Analiza fin. pok.'!H$118*100</f>
        <v>1.6129032258064515</v>
      </c>
    </row>
    <row r="112" spans="1:8" ht="12.75">
      <c r="A112" s="846" t="s">
        <v>1121</v>
      </c>
      <c r="B112" s="838" t="s">
        <v>904</v>
      </c>
      <c r="C112" s="862">
        <f t="shared" si="0"/>
        <v>141</v>
      </c>
      <c r="D112" s="860">
        <f>+'Analiza fin. pok.'!D112/'Analiza fin. pok.'!D$118*100</f>
        <v>0.0710472150536511</v>
      </c>
      <c r="E112" s="860">
        <f>+'Analiza fin. pok.'!E112/'Analiza fin. pok.'!E$118*100</f>
        <v>0.06523938861372956</v>
      </c>
      <c r="F112" s="860">
        <f>+'Analiza fin. pok.'!F112/'Analiza fin. pok.'!F$118*100</f>
        <v>0.15522625128603143</v>
      </c>
      <c r="G112" s="860">
        <f>+'Analiza fin. pok.'!G112/'Analiza fin. pok.'!G$118*100</f>
        <v>0.19921788533903934</v>
      </c>
      <c r="H112" s="860">
        <f>+'Analiza fin. pok.'!H112/'Analiza fin. pok.'!H$118*100</f>
        <v>0.1652798358600251</v>
      </c>
    </row>
    <row r="113" spans="1:8" ht="12.75">
      <c r="A113" s="846" t="s">
        <v>1122</v>
      </c>
      <c r="B113" s="838" t="s">
        <v>905</v>
      </c>
      <c r="C113" s="862">
        <f t="shared" si="0"/>
        <v>142</v>
      </c>
      <c r="D113" s="860">
        <f>+'Analiza fin. pok.'!D113/'Analiza fin. pok.'!D$118*100</f>
        <v>0</v>
      </c>
      <c r="E113" s="860">
        <f>+'Analiza fin. pok.'!E113/'Analiza fin. pok.'!E$118*100</f>
        <v>0.13047877722745913</v>
      </c>
      <c r="F113" s="860">
        <f>+'Analiza fin. pok.'!F113/'Analiza fin. pok.'!F$118*100</f>
        <v>0</v>
      </c>
      <c r="G113" s="860">
        <f>+'Analiza fin. pok.'!G113/'Analiza fin. pok.'!G$118*100</f>
        <v>0</v>
      </c>
      <c r="H113" s="860">
        <f>+'Analiza fin. pok.'!H113/'Analiza fin. pok.'!H$118*100</f>
        <v>0</v>
      </c>
    </row>
    <row r="114" spans="1:8" ht="12.75">
      <c r="A114" s="846" t="s">
        <v>1123</v>
      </c>
      <c r="B114" s="838" t="s">
        <v>906</v>
      </c>
      <c r="C114" s="862">
        <f t="shared" si="0"/>
        <v>143</v>
      </c>
      <c r="D114" s="860">
        <f>+'Analiza fin. pok.'!D114/'Analiza fin. pok.'!D$118*100</f>
        <v>0</v>
      </c>
      <c r="E114" s="860">
        <f>+'Analiza fin. pok.'!E114/'Analiza fin. pok.'!E$118*100</f>
        <v>0</v>
      </c>
      <c r="F114" s="860">
        <f>+'Analiza fin. pok.'!F114/'Analiza fin. pok.'!F$118*100</f>
        <v>0</v>
      </c>
      <c r="G114" s="860">
        <f>+'Analiza fin. pok.'!G114/'Analiza fin. pok.'!G$118*100</f>
        <v>0</v>
      </c>
      <c r="H114" s="860">
        <f>+'Analiza fin. pok.'!H114/'Analiza fin. pok.'!H$118*100</f>
        <v>0</v>
      </c>
    </row>
    <row r="115" spans="1:8" ht="12.75">
      <c r="A115" s="846" t="s">
        <v>1124</v>
      </c>
      <c r="B115" s="838" t="s">
        <v>907</v>
      </c>
      <c r="C115" s="862">
        <f t="shared" si="0"/>
        <v>144</v>
      </c>
      <c r="D115" s="860">
        <f>+'Analiza fin. pok.'!D115/'Analiza fin. pok.'!D$118*100</f>
        <v>0</v>
      </c>
      <c r="E115" s="860">
        <f>+'Analiza fin. pok.'!E115/'Analiza fin. pok.'!E$118*100</f>
        <v>0</v>
      </c>
      <c r="F115" s="860">
        <f>+'Analiza fin. pok.'!F115/'Analiza fin. pok.'!F$118*100</f>
        <v>0</v>
      </c>
      <c r="G115" s="860">
        <f>+'Analiza fin. pok.'!G115/'Analiza fin. pok.'!G$118*100</f>
        <v>0</v>
      </c>
      <c r="H115" s="860">
        <f>+'Analiza fin. pok.'!H115/'Analiza fin. pok.'!H$118*100</f>
        <v>0</v>
      </c>
    </row>
    <row r="116" spans="1:8" ht="12.75">
      <c r="A116" s="846"/>
      <c r="B116" s="848" t="s">
        <v>908</v>
      </c>
      <c r="C116" s="862">
        <f t="shared" si="0"/>
        <v>145</v>
      </c>
      <c r="D116" s="860">
        <f>+'Analiza fin. pok.'!D116/'Analiza fin. pok.'!D$118*100</f>
        <v>100</v>
      </c>
      <c r="E116" s="860">
        <f>+'Analiza fin. pok.'!E116/'Analiza fin. pok.'!E$118*100</f>
        <v>100</v>
      </c>
      <c r="F116" s="860">
        <f>+'Analiza fin. pok.'!F116/'Analiza fin. pok.'!F$118*100</f>
        <v>99.6624731512734</v>
      </c>
      <c r="G116" s="860">
        <f>+'Analiza fin. pok.'!G116/'Analiza fin. pok.'!G$118*100</f>
        <v>99.54622592783885</v>
      </c>
      <c r="H116" s="860">
        <f>+'Analiza fin. pok.'!H116/'Analiza fin. pok.'!H$118*100</f>
        <v>99.52125840647442</v>
      </c>
    </row>
    <row r="117" spans="1:8" ht="12.75">
      <c r="A117" s="846" t="s">
        <v>909</v>
      </c>
      <c r="B117" s="838" t="s">
        <v>910</v>
      </c>
      <c r="C117" s="862">
        <f t="shared" si="0"/>
        <v>146</v>
      </c>
      <c r="D117" s="860">
        <f>+'Analiza fin. pok.'!D117/'Analiza fin. pok.'!D$118*100</f>
        <v>0</v>
      </c>
      <c r="E117" s="860">
        <f>+'Analiza fin. pok.'!E117/'Analiza fin. pok.'!E$118*100</f>
        <v>0</v>
      </c>
      <c r="F117" s="860">
        <f>+'Analiza fin. pok.'!F117/'Analiza fin. pok.'!F$118*100</f>
        <v>0.33752684872660327</v>
      </c>
      <c r="G117" s="860">
        <f>+'Analiza fin. pok.'!G117/'Analiza fin. pok.'!G$118*100</f>
        <v>0.4537740721611451</v>
      </c>
      <c r="H117" s="860">
        <f>+'Analiza fin. pok.'!H117/'Analiza fin. pok.'!H$118*100</f>
        <v>0.47874159352558987</v>
      </c>
    </row>
    <row r="118" spans="1:8" ht="12.75">
      <c r="A118" s="846"/>
      <c r="B118" s="848" t="s">
        <v>911</v>
      </c>
      <c r="C118" s="862">
        <f t="shared" si="0"/>
        <v>147</v>
      </c>
      <c r="D118" s="860">
        <f>+'Analiza fin. pok.'!D118/'Analiza fin. pok.'!D$118*100</f>
        <v>100</v>
      </c>
      <c r="E118" s="860">
        <f>+'Analiza fin. pok.'!E118/'Analiza fin. pok.'!E$118*100</f>
        <v>100</v>
      </c>
      <c r="F118" s="860">
        <f>+'Analiza fin. pok.'!F118/'Analiza fin. pok.'!F$118*100</f>
        <v>100</v>
      </c>
      <c r="G118" s="860">
        <f>+'Analiza fin. pok.'!G118/'Analiza fin. pok.'!G$118*100</f>
        <v>100</v>
      </c>
      <c r="H118" s="860">
        <f>+'Analiza fin. pok.'!H118/'Analiza fin. pok.'!H$118*100</f>
        <v>100</v>
      </c>
    </row>
    <row r="119" spans="1:8" ht="12.75">
      <c r="A119" s="846" t="s">
        <v>1137</v>
      </c>
      <c r="B119" s="838" t="s">
        <v>912</v>
      </c>
      <c r="C119" s="862">
        <f t="shared" si="0"/>
        <v>148</v>
      </c>
      <c r="D119" s="860">
        <f>+'Analiza fin. pok.'!D119/'Analiza fin. pok.'!D$118*100</f>
        <v>3.015327391835839</v>
      </c>
      <c r="E119" s="860">
        <f>+'Analiza fin. pok.'!E119/'Analiza fin. pok.'!E$118*100</f>
        <v>0</v>
      </c>
      <c r="F119" s="860">
        <f>+'Analiza fin. pok.'!F119/'Analiza fin. pok.'!F$118*100</f>
        <v>0</v>
      </c>
      <c r="G119" s="860">
        <f>+'Analiza fin. pok.'!G119/'Analiza fin. pok.'!G$118*100</f>
        <v>0</v>
      </c>
      <c r="H119" s="860">
        <f>+'Analiza fin. pok.'!H119/'Analiza fin. pok.'!H$118*100</f>
        <v>0</v>
      </c>
    </row>
    <row r="120" spans="1:8" ht="12.75">
      <c r="A120" s="854"/>
      <c r="B120" s="832"/>
      <c r="C120" s="832"/>
      <c r="D120" s="832"/>
      <c r="E120" s="832"/>
      <c r="F120" s="832"/>
      <c r="G120" s="832"/>
      <c r="H120" s="832"/>
    </row>
    <row r="121" spans="1:8" ht="12.75">
      <c r="A121" s="854"/>
      <c r="B121" s="832"/>
      <c r="C121" s="832"/>
      <c r="D121" s="832"/>
      <c r="E121" s="832"/>
      <c r="F121" s="832"/>
      <c r="G121" s="832"/>
      <c r="H121" s="832"/>
    </row>
    <row r="122" spans="1:8" ht="15.75">
      <c r="A122" s="857"/>
      <c r="B122" s="832"/>
      <c r="C122" s="863" t="s">
        <v>914</v>
      </c>
      <c r="D122" s="832"/>
      <c r="E122" s="832"/>
      <c r="F122" s="832"/>
      <c r="G122" s="832"/>
      <c r="H122" s="832"/>
    </row>
    <row r="123" spans="1:8" ht="12.75">
      <c r="A123" s="857"/>
      <c r="B123" s="832"/>
      <c r="C123" s="832"/>
      <c r="D123" s="832"/>
      <c r="E123" s="832"/>
      <c r="F123" s="832"/>
      <c r="G123" s="832"/>
      <c r="H123" s="832"/>
    </row>
    <row r="124" spans="1:8" ht="12.75">
      <c r="A124" s="857"/>
      <c r="B124" s="837" t="s">
        <v>802</v>
      </c>
      <c r="C124" s="832"/>
      <c r="D124" s="832"/>
      <c r="E124" s="832"/>
      <c r="F124" s="832"/>
      <c r="G124" s="832"/>
      <c r="H124" s="832"/>
    </row>
    <row r="125" spans="1:8" ht="12.75">
      <c r="A125" s="857"/>
      <c r="B125" s="832"/>
      <c r="C125" s="832"/>
      <c r="D125" s="832" t="str">
        <f>+B3</f>
        <v>U 000 din</v>
      </c>
      <c r="E125" s="832"/>
      <c r="F125" s="832"/>
      <c r="G125" s="832"/>
      <c r="H125" s="832"/>
    </row>
    <row r="126" spans="1:8" ht="25.5">
      <c r="A126" s="864" t="s">
        <v>915</v>
      </c>
      <c r="B126" s="843" t="s">
        <v>1441</v>
      </c>
      <c r="C126" s="865" t="s">
        <v>424</v>
      </c>
      <c r="D126" s="839">
        <f>+D6</f>
        <v>2002</v>
      </c>
      <c r="E126" s="839">
        <f>+E6</f>
        <v>2001</v>
      </c>
      <c r="F126" s="839">
        <f>+F6</f>
        <v>2000</v>
      </c>
      <c r="G126" s="839">
        <f>+G6</f>
        <v>1999</v>
      </c>
      <c r="H126" s="839">
        <f>+H6</f>
        <v>1998</v>
      </c>
    </row>
    <row r="127" spans="1:8" ht="12.75">
      <c r="A127" s="864"/>
      <c r="B127" s="843"/>
      <c r="C127" s="865"/>
      <c r="D127" s="838" t="str">
        <f>+B3</f>
        <v>U 000 din</v>
      </c>
      <c r="E127" s="838" t="str">
        <f>+B3</f>
        <v>U 000 din</v>
      </c>
      <c r="F127" s="838" t="str">
        <f>+B3</f>
        <v>U 000 din</v>
      </c>
      <c r="G127" s="838" t="str">
        <f>+F127</f>
        <v>U 000 din</v>
      </c>
      <c r="H127" s="838" t="str">
        <f>+G127</f>
        <v>U 000 din</v>
      </c>
    </row>
    <row r="128" spans="1:8" ht="15.75">
      <c r="A128" s="866" t="s">
        <v>916</v>
      </c>
      <c r="B128" s="867" t="s">
        <v>917</v>
      </c>
      <c r="C128" s="868"/>
      <c r="D128" s="838"/>
      <c r="E128" s="838"/>
      <c r="F128" s="838"/>
      <c r="G128" s="838"/>
      <c r="H128" s="838"/>
    </row>
    <row r="129" spans="1:8" ht="38.25">
      <c r="A129" s="866"/>
      <c r="B129" s="869" t="s">
        <v>618</v>
      </c>
      <c r="C129" s="868">
        <v>201</v>
      </c>
      <c r="D129" s="838">
        <f>+'Analiza fin. pok.'!D129/'Analiza fin. pok.'!D$129*100</f>
        <v>100</v>
      </c>
      <c r="E129" s="838">
        <f>+'Analiza fin. pok.'!E129/'Analiza fin. pok.'!E$129*100</f>
        <v>100</v>
      </c>
      <c r="F129" s="838">
        <f>+'Analiza fin. pok.'!F129/'Analiza fin. pok.'!F$129*100</f>
        <v>100</v>
      </c>
      <c r="G129" s="838">
        <f>+'Analiza fin. pok.'!G129/'Analiza fin. pok.'!G$129*100</f>
        <v>100</v>
      </c>
      <c r="H129" s="838">
        <f>+'Analiza fin. pok.'!H129/'Analiza fin. pok.'!H$129*100</f>
        <v>100</v>
      </c>
    </row>
    <row r="130" spans="1:8" ht="12.75">
      <c r="A130" s="866"/>
      <c r="B130" s="848" t="s">
        <v>918</v>
      </c>
      <c r="C130" s="868">
        <f>+C129+1</f>
        <v>202</v>
      </c>
      <c r="D130" s="870">
        <f>+'Analiza fin. pok.'!D130/'Analiza fin. pok.'!D$129*100</f>
        <v>0</v>
      </c>
      <c r="E130" s="870">
        <f>+'Analiza fin. pok.'!E130/'Analiza fin. pok.'!E$129*100</f>
        <v>0</v>
      </c>
      <c r="F130" s="870">
        <f>+'Analiza fin. pok.'!F130/'Analiza fin. pok.'!F$129*100</f>
        <v>0</v>
      </c>
      <c r="G130" s="870">
        <f>+'Analiza fin. pok.'!G130/'Analiza fin. pok.'!G$129*100</f>
        <v>0.9361787799476545</v>
      </c>
      <c r="H130" s="870">
        <f>+'Analiza fin. pok.'!H130/'Analiza fin. pok.'!H$129*100</f>
        <v>0</v>
      </c>
    </row>
    <row r="131" spans="1:8" ht="12.75">
      <c r="A131" s="866">
        <v>600</v>
      </c>
      <c r="B131" s="838" t="s">
        <v>919</v>
      </c>
      <c r="C131" s="868">
        <f aca="true" t="shared" si="1" ref="C131:C194">+C130+1</f>
        <v>203</v>
      </c>
      <c r="D131" s="870">
        <f>+'Analiza fin. pok.'!D131/'Analiza fin. pok.'!D$129*100</f>
        <v>0</v>
      </c>
      <c r="E131" s="870">
        <f>+'Analiza fin. pok.'!E131/'Analiza fin. pok.'!E$129*100</f>
        <v>0</v>
      </c>
      <c r="F131" s="870">
        <f>+'Analiza fin. pok.'!F131/'Analiza fin. pok.'!F$129*100</f>
        <v>0</v>
      </c>
      <c r="G131" s="870">
        <f>+'Analiza fin. pok.'!G131/'Analiza fin. pok.'!G$129*100</f>
        <v>0</v>
      </c>
      <c r="H131" s="870">
        <f>+'Analiza fin. pok.'!H131/'Analiza fin. pok.'!H$129*100</f>
        <v>0</v>
      </c>
    </row>
    <row r="132" spans="1:8" ht="12.75">
      <c r="A132" s="866">
        <v>601</v>
      </c>
      <c r="B132" s="838" t="s">
        <v>920</v>
      </c>
      <c r="C132" s="868">
        <f t="shared" si="1"/>
        <v>204</v>
      </c>
      <c r="D132" s="870">
        <f>+'Analiza fin. pok.'!D132/'Analiza fin. pok.'!D$129*100</f>
        <v>0</v>
      </c>
      <c r="E132" s="870">
        <f>+'Analiza fin. pok.'!E132/'Analiza fin. pok.'!E$129*100</f>
        <v>0</v>
      </c>
      <c r="F132" s="870">
        <f>+'Analiza fin. pok.'!F132/'Analiza fin. pok.'!F$129*100</f>
        <v>0</v>
      </c>
      <c r="G132" s="870">
        <f>+'Analiza fin. pok.'!G132/'Analiza fin. pok.'!G$129*100</f>
        <v>0.9361787799476545</v>
      </c>
      <c r="H132" s="870">
        <f>+'Analiza fin. pok.'!H132/'Analiza fin. pok.'!H$129*100</f>
        <v>0</v>
      </c>
    </row>
    <row r="133" spans="1:8" ht="12.75">
      <c r="A133" s="866">
        <v>602</v>
      </c>
      <c r="B133" s="838" t="s">
        <v>921</v>
      </c>
      <c r="C133" s="868">
        <f t="shared" si="1"/>
        <v>205</v>
      </c>
      <c r="D133" s="870">
        <f>+'Analiza fin. pok.'!D133/'Analiza fin. pok.'!D$129*100</f>
        <v>0</v>
      </c>
      <c r="E133" s="870">
        <f>+'Analiza fin. pok.'!E133/'Analiza fin. pok.'!E$129*100</f>
        <v>0</v>
      </c>
      <c r="F133" s="870">
        <f>+'Analiza fin. pok.'!F133/'Analiza fin. pok.'!F$129*100</f>
        <v>0</v>
      </c>
      <c r="G133" s="870">
        <f>+'Analiza fin. pok.'!G133/'Analiza fin. pok.'!G$129*100</f>
        <v>0</v>
      </c>
      <c r="H133" s="870">
        <f>+'Analiza fin. pok.'!H133/'Analiza fin. pok.'!H$129*100</f>
        <v>0</v>
      </c>
    </row>
    <row r="134" spans="1:8" ht="12.75">
      <c r="A134" s="866"/>
      <c r="B134" s="848" t="s">
        <v>922</v>
      </c>
      <c r="C134" s="868">
        <f t="shared" si="1"/>
        <v>206</v>
      </c>
      <c r="D134" s="870">
        <f>+'Analiza fin. pok.'!D134/'Analiza fin. pok.'!D$129*100</f>
        <v>99.49080566080895</v>
      </c>
      <c r="E134" s="870">
        <f>+'Analiza fin. pok.'!E134/'Analiza fin. pok.'!E$129*100</f>
        <v>98.73100568379539</v>
      </c>
      <c r="F134" s="870">
        <f>+'Analiza fin. pok.'!F134/'Analiza fin. pok.'!F$129*100</f>
        <v>99.33232652412369</v>
      </c>
      <c r="G134" s="870">
        <f>+'Analiza fin. pok.'!G134/'Analiza fin. pok.'!G$129*100</f>
        <v>97.04046708274613</v>
      </c>
      <c r="H134" s="870">
        <f>+'Analiza fin. pok.'!H134/'Analiza fin. pok.'!H$129*100</f>
        <v>99.26836406204272</v>
      </c>
    </row>
    <row r="135" spans="1:8" ht="12.75">
      <c r="A135" s="866">
        <v>610</v>
      </c>
      <c r="B135" s="838" t="s">
        <v>923</v>
      </c>
      <c r="C135" s="868">
        <f t="shared" si="1"/>
        <v>207</v>
      </c>
      <c r="D135" s="870">
        <f>+'Analiza fin. pok.'!D135/'Analiza fin. pok.'!D$129*100</f>
        <v>0</v>
      </c>
      <c r="E135" s="870">
        <f>+'Analiza fin. pok.'!E135/'Analiza fin. pok.'!E$129*100</f>
        <v>0</v>
      </c>
      <c r="F135" s="870">
        <f>+'Analiza fin. pok.'!F135/'Analiza fin. pok.'!F$129*100</f>
        <v>0</v>
      </c>
      <c r="G135" s="870">
        <f>+'Analiza fin. pok.'!G135/'Analiza fin. pok.'!G$129*100</f>
        <v>0</v>
      </c>
      <c r="H135" s="870">
        <f>+'Analiza fin. pok.'!H135/'Analiza fin. pok.'!H$129*100</f>
        <v>0</v>
      </c>
    </row>
    <row r="136" spans="1:8" ht="12.75">
      <c r="A136" s="866">
        <v>611</v>
      </c>
      <c r="B136" s="838" t="s">
        <v>924</v>
      </c>
      <c r="C136" s="868">
        <f t="shared" si="1"/>
        <v>208</v>
      </c>
      <c r="D136" s="870">
        <f>+'Analiza fin. pok.'!D136/'Analiza fin. pok.'!D$129*100</f>
        <v>99.49080566080895</v>
      </c>
      <c r="E136" s="870">
        <f>+'Analiza fin. pok.'!E136/'Analiza fin. pok.'!E$129*100</f>
        <v>98.73100568379539</v>
      </c>
      <c r="F136" s="870">
        <f>+'Analiza fin. pok.'!F136/'Analiza fin. pok.'!F$129*100</f>
        <v>99.33232652412369</v>
      </c>
      <c r="G136" s="870">
        <f>+'Analiza fin. pok.'!G136/'Analiza fin. pok.'!G$129*100</f>
        <v>97.04046708274613</v>
      </c>
      <c r="H136" s="870">
        <f>+'Analiza fin. pok.'!H136/'Analiza fin. pok.'!H$129*100</f>
        <v>99.26836406204272</v>
      </c>
    </row>
    <row r="137" spans="1:8" ht="12.75">
      <c r="A137" s="866">
        <v>612</v>
      </c>
      <c r="B137" s="838" t="s">
        <v>925</v>
      </c>
      <c r="C137" s="868">
        <f t="shared" si="1"/>
        <v>209</v>
      </c>
      <c r="D137" s="870">
        <f>+'Analiza fin. pok.'!D137/'Analiza fin. pok.'!D$129*100</f>
        <v>0</v>
      </c>
      <c r="E137" s="870">
        <f>+'Analiza fin. pok.'!E137/'Analiza fin. pok.'!E$129*100</f>
        <v>0</v>
      </c>
      <c r="F137" s="870">
        <f>+'Analiza fin. pok.'!F137/'Analiza fin. pok.'!F$129*100</f>
        <v>0</v>
      </c>
      <c r="G137" s="870">
        <f>+'Analiza fin. pok.'!G137/'Analiza fin. pok.'!G$129*100</f>
        <v>0</v>
      </c>
      <c r="H137" s="870">
        <f>+'Analiza fin. pok.'!H137/'Analiza fin. pok.'!H$129*100</f>
        <v>0</v>
      </c>
    </row>
    <row r="138" spans="1:8" ht="12.75">
      <c r="A138" s="866">
        <v>62</v>
      </c>
      <c r="B138" s="838" t="s">
        <v>926</v>
      </c>
      <c r="C138" s="868">
        <f t="shared" si="1"/>
        <v>210</v>
      </c>
      <c r="D138" s="870">
        <f>+'Analiza fin. pok.'!D138/'Analiza fin. pok.'!D$129*100</f>
        <v>0</v>
      </c>
      <c r="E138" s="870">
        <f>+'Analiza fin. pok.'!E138/'Analiza fin. pok.'!E$129*100</f>
        <v>0</v>
      </c>
      <c r="F138" s="870">
        <f>+'Analiza fin. pok.'!F138/'Analiza fin. pok.'!F$129*100</f>
        <v>0</v>
      </c>
      <c r="G138" s="870">
        <f>+'Analiza fin. pok.'!G138/'Analiza fin. pok.'!G$129*100</f>
        <v>0</v>
      </c>
      <c r="H138" s="870">
        <f>+'Analiza fin. pok.'!H138/'Analiza fin. pok.'!H$129*100</f>
        <v>0</v>
      </c>
    </row>
    <row r="139" spans="1:8" ht="12.75">
      <c r="A139" s="866">
        <v>64</v>
      </c>
      <c r="B139" s="838" t="s">
        <v>927</v>
      </c>
      <c r="C139" s="868">
        <f t="shared" si="1"/>
        <v>211</v>
      </c>
      <c r="D139" s="870">
        <f>+'Analiza fin. pok.'!D139/'Analiza fin. pok.'!D$129*100</f>
        <v>0.5022326978349295</v>
      </c>
      <c r="E139" s="870">
        <f>+'Analiza fin. pok.'!E139/'Analiza fin. pok.'!E$129*100</f>
        <v>1.2457951513745504</v>
      </c>
      <c r="F139" s="870">
        <f>+'Analiza fin. pok.'!F139/'Analiza fin. pok.'!F$129*100</f>
        <v>0.6438279945950243</v>
      </c>
      <c r="G139" s="870">
        <f>+'Analiza fin. pok.'!G139/'Analiza fin. pok.'!G$129*100</f>
        <v>2.023354137306221</v>
      </c>
      <c r="H139" s="870">
        <f>+'Analiza fin. pok.'!H139/'Analiza fin. pok.'!H$129*100</f>
        <v>0.7316359379572724</v>
      </c>
    </row>
    <row r="140" spans="1:8" ht="12.75">
      <c r="A140" s="866">
        <v>65</v>
      </c>
      <c r="B140" s="838" t="s">
        <v>928</v>
      </c>
      <c r="C140" s="868">
        <f t="shared" si="1"/>
        <v>212</v>
      </c>
      <c r="D140" s="870">
        <f>+'Analiza fin. pok.'!D140/'Analiza fin. pok.'!D$129*100</f>
        <v>0.006961641356127737</v>
      </c>
      <c r="E140" s="870">
        <f>+'Analiza fin. pok.'!E140/'Analiza fin. pok.'!E$129*100</f>
        <v>0.023199164830066118</v>
      </c>
      <c r="F140" s="870">
        <f>+'Analiza fin. pok.'!F140/'Analiza fin. pok.'!F$129*100</f>
        <v>0.023845481281297192</v>
      </c>
      <c r="G140" s="870">
        <f>+'Analiza fin. pok.'!G140/'Analiza fin. pok.'!G$129*100</f>
        <v>0</v>
      </c>
      <c r="H140" s="870">
        <f>+'Analiza fin. pok.'!H140/'Analiza fin. pok.'!H$129*100</f>
        <v>0</v>
      </c>
    </row>
    <row r="141" spans="1:8" ht="12.75">
      <c r="A141" s="866">
        <v>630</v>
      </c>
      <c r="B141" s="838" t="s">
        <v>929</v>
      </c>
      <c r="C141" s="868">
        <f t="shared" si="1"/>
        <v>213</v>
      </c>
      <c r="D141" s="870">
        <f>+'Analiza fin. pok.'!D141/'Analiza fin. pok.'!D$129*100</f>
        <v>0</v>
      </c>
      <c r="E141" s="870">
        <f>+'Analiza fin. pok.'!E141/'Analiza fin. pok.'!E$129*100</f>
        <v>0</v>
      </c>
      <c r="F141" s="870">
        <f>+'Analiza fin. pok.'!F141/'Analiza fin. pok.'!F$129*100</f>
        <v>0</v>
      </c>
      <c r="G141" s="870">
        <f>+'Analiza fin. pok.'!G141/'Analiza fin. pok.'!G$129*100</f>
        <v>0</v>
      </c>
      <c r="H141" s="870">
        <f>+'Analiza fin. pok.'!H141/'Analiza fin. pok.'!H$129*100</f>
        <v>0</v>
      </c>
    </row>
    <row r="142" spans="1:8" ht="12.75">
      <c r="A142" s="866">
        <v>631</v>
      </c>
      <c r="B142" s="838" t="s">
        <v>930</v>
      </c>
      <c r="C142" s="868">
        <f t="shared" si="1"/>
        <v>214</v>
      </c>
      <c r="D142" s="870">
        <f>+'Analiza fin. pok.'!D142/'Analiza fin. pok.'!D$129*100</f>
        <v>0</v>
      </c>
      <c r="E142" s="870">
        <f>+'Analiza fin. pok.'!E142/'Analiza fin. pok.'!E$129*100</f>
        <v>0</v>
      </c>
      <c r="F142" s="870">
        <f>+'Analiza fin. pok.'!F142/'Analiza fin. pok.'!F$129*100</f>
        <v>0</v>
      </c>
      <c r="G142" s="870">
        <f>+'Analiza fin. pok.'!G142/'Analiza fin. pok.'!G$129*100</f>
        <v>0</v>
      </c>
      <c r="H142" s="870">
        <f>+'Analiza fin. pok.'!H142/'Analiza fin. pok.'!H$129*100</f>
        <v>0</v>
      </c>
    </row>
    <row r="143" spans="1:8" ht="12.75">
      <c r="A143" s="871"/>
      <c r="B143" s="871" t="s">
        <v>931</v>
      </c>
      <c r="C143" s="868">
        <f>+C142+1</f>
        <v>215</v>
      </c>
      <c r="D143" s="870">
        <f>+'Analiza fin. pok.'!D143/'Analiza fin. pok.'!D$129*100</f>
        <v>100</v>
      </c>
      <c r="E143" s="870">
        <f>+'Analiza fin. pok.'!E143/'Analiza fin. pok.'!E$129*100</f>
        <v>100</v>
      </c>
      <c r="F143" s="870">
        <f>+'Analiza fin. pok.'!F143/'Analiza fin. pok.'!F$129*100</f>
        <v>100</v>
      </c>
      <c r="G143" s="870">
        <f>+'Analiza fin. pok.'!G143/'Analiza fin. pok.'!G$129*100</f>
        <v>100</v>
      </c>
      <c r="H143" s="870">
        <f>+'Analiza fin. pok.'!H143/'Analiza fin. pok.'!H$129*100</f>
        <v>100</v>
      </c>
    </row>
    <row r="144" spans="1:8" ht="12.75">
      <c r="A144" s="871"/>
      <c r="B144" s="871" t="s">
        <v>620</v>
      </c>
      <c r="C144" s="868">
        <f t="shared" si="1"/>
        <v>216</v>
      </c>
      <c r="D144" s="870">
        <f>+'Analiza fin. pok.'!D144/'Analiza fin. pok.'!D$129*100</f>
        <v>0</v>
      </c>
      <c r="E144" s="870">
        <f>+'Analiza fin. pok.'!E144/'Analiza fin. pok.'!E$129*100</f>
        <v>0</v>
      </c>
      <c r="F144" s="870">
        <f>+'Analiza fin. pok.'!F144/'Analiza fin. pok.'!F$129*100</f>
        <v>0</v>
      </c>
      <c r="G144" s="870">
        <f>+'Analiza fin. pok.'!G144/'Analiza fin. pok.'!G$129*100</f>
        <v>0</v>
      </c>
      <c r="H144" s="870">
        <f>+'Analiza fin. pok.'!H144/'Analiza fin. pok.'!H$129*100</f>
        <v>0</v>
      </c>
    </row>
    <row r="145" spans="1:8" ht="12.75">
      <c r="A145" s="866"/>
      <c r="B145" s="838" t="s">
        <v>932</v>
      </c>
      <c r="C145" s="868">
        <f t="shared" si="1"/>
        <v>217</v>
      </c>
      <c r="D145" s="870">
        <f>+'Analiza fin. pok.'!D145/'Analiza fin. pok.'!D$129*100</f>
        <v>22.06740857873119</v>
      </c>
      <c r="E145" s="870">
        <f>+'Analiza fin. pok.'!E145/'Analiza fin. pok.'!E$129*100</f>
        <v>24.250086996868113</v>
      </c>
      <c r="F145" s="870">
        <f>+'Analiza fin. pok.'!F145/'Analiza fin. pok.'!F$129*100</f>
        <v>17.63770765439949</v>
      </c>
      <c r="G145" s="870">
        <f>+'Analiza fin. pok.'!G145/'Analiza fin. pok.'!G$129*100</f>
        <v>15.401650895913027</v>
      </c>
      <c r="H145" s="870">
        <f>+'Analiza fin. pok.'!H145/'Analiza fin. pok.'!H$129*100</f>
        <v>18.28114330309238</v>
      </c>
    </row>
    <row r="146" spans="1:8" ht="12.75">
      <c r="A146" s="866">
        <v>501</v>
      </c>
      <c r="B146" s="838" t="s">
        <v>933</v>
      </c>
      <c r="C146" s="868">
        <f t="shared" si="1"/>
        <v>218</v>
      </c>
      <c r="D146" s="870">
        <f>+'Analiza fin. pok.'!D146/'Analiza fin. pok.'!D$129*100</f>
        <v>0</v>
      </c>
      <c r="E146" s="870">
        <f>+'Analiza fin. pok.'!E146/'Analiza fin. pok.'!E$129*100</f>
        <v>24.250086996868113</v>
      </c>
      <c r="F146" s="870">
        <f>+'Analiza fin. pok.'!F146/'Analiza fin. pok.'!F$129*100</f>
        <v>0.02781972816151339</v>
      </c>
      <c r="G146" s="870">
        <f>+'Analiza fin. pok.'!G146/'Analiza fin. pok.'!G$129*100</f>
        <v>0.8455808335011074</v>
      </c>
      <c r="H146" s="870">
        <f>+'Analiza fin. pok.'!H146/'Analiza fin. pok.'!H$129*100</f>
        <v>0</v>
      </c>
    </row>
    <row r="147" spans="1:8" ht="12.75">
      <c r="A147" s="866">
        <v>511</v>
      </c>
      <c r="B147" s="838" t="s">
        <v>983</v>
      </c>
      <c r="C147" s="868">
        <f t="shared" si="1"/>
        <v>219</v>
      </c>
      <c r="D147" s="870">
        <f>+'Analiza fin. pok.'!D147/'Analiza fin. pok.'!D$129*100</f>
        <v>22.06740857873119</v>
      </c>
      <c r="E147" s="870">
        <f>+'Analiza fin. pok.'!E147/'Analiza fin. pok.'!E$129*100</f>
        <v>0</v>
      </c>
      <c r="F147" s="870">
        <f>+'Analiza fin. pok.'!F147/'Analiza fin. pok.'!F$129*100</f>
        <v>17.609887926237977</v>
      </c>
      <c r="G147" s="870">
        <f>+'Analiza fin. pok.'!G147/'Analiza fin. pok.'!G$129*100</f>
        <v>14.55607006241192</v>
      </c>
      <c r="H147" s="870">
        <f>+'Analiza fin. pok.'!H147/'Analiza fin. pok.'!H$129*100</f>
        <v>18.28114330309238</v>
      </c>
    </row>
    <row r="148" spans="1:8" ht="12.75">
      <c r="A148" s="866"/>
      <c r="B148" s="838" t="s">
        <v>621</v>
      </c>
      <c r="C148" s="868">
        <f t="shared" si="1"/>
        <v>220</v>
      </c>
      <c r="D148" s="870">
        <f>+'Analiza fin. pok.'!D148/'Analiza fin. pok.'!D$129*100</f>
        <v>77.93259142126881</v>
      </c>
      <c r="E148" s="870">
        <f>+'Analiza fin. pok.'!E148/'Analiza fin. pok.'!E$129*100</f>
        <v>75.74991300313188</v>
      </c>
      <c r="F148" s="870">
        <f>+'Analiza fin. pok.'!F148/'Analiza fin. pok.'!F$129*100</f>
        <v>82.36229234560051</v>
      </c>
      <c r="G148" s="870">
        <f>+'Analiza fin. pok.'!G148/'Analiza fin. pok.'!G$129*100</f>
        <v>84.59834910408698</v>
      </c>
      <c r="H148" s="870">
        <f>+'Analiza fin. pok.'!H148/'Analiza fin. pok.'!H$129*100</f>
        <v>81.71885669690762</v>
      </c>
    </row>
    <row r="149" spans="1:8" ht="12.75">
      <c r="A149" s="866"/>
      <c r="B149" s="838" t="s">
        <v>984</v>
      </c>
      <c r="C149" s="868">
        <f t="shared" si="1"/>
        <v>221</v>
      </c>
      <c r="D149" s="870">
        <f>+'Analiza fin. pok.'!D149/'Analiza fin. pok.'!D$129*100</f>
        <v>0</v>
      </c>
      <c r="E149" s="870">
        <f>+'Analiza fin. pok.'!E149/'Analiza fin. pok.'!E$129*100</f>
        <v>0</v>
      </c>
      <c r="F149" s="870">
        <f>+'Analiza fin. pok.'!F149/'Analiza fin. pok.'!F$129*100</f>
        <v>0</v>
      </c>
      <c r="G149" s="870">
        <f>+'Analiza fin. pok.'!G149/'Analiza fin. pok.'!G$129*100</f>
        <v>0</v>
      </c>
      <c r="H149" s="870">
        <f>+'Analiza fin. pok.'!H149/'Analiza fin. pok.'!H$129*100</f>
        <v>0</v>
      </c>
    </row>
    <row r="150" spans="1:8" ht="12.75">
      <c r="A150" s="866"/>
      <c r="B150" s="838" t="s">
        <v>985</v>
      </c>
      <c r="C150" s="868">
        <f t="shared" si="1"/>
        <v>222</v>
      </c>
      <c r="D150" s="870">
        <f>+'Analiza fin. pok.'!D150/'Analiza fin. pok.'!D$129*100</f>
        <v>75.33788823582063</v>
      </c>
      <c r="E150" s="870">
        <f>+'Analiza fin. pok.'!E150/'Analiza fin. pok.'!E$129*100</f>
        <v>84.11321192437072</v>
      </c>
      <c r="F150" s="870">
        <f>+'Analiza fin. pok.'!F150/'Analiza fin. pok.'!F$129*100</f>
        <v>81.31706541610365</v>
      </c>
      <c r="G150" s="870">
        <f>+'Analiza fin. pok.'!G150/'Analiza fin. pok.'!G$129*100</f>
        <v>94.35272800483189</v>
      </c>
      <c r="H150" s="870">
        <f>+'Analiza fin. pok.'!H150/'Analiza fin. pok.'!H$129*100</f>
        <v>82.37245146814945</v>
      </c>
    </row>
    <row r="151" spans="1:8" ht="12.75">
      <c r="A151" s="866">
        <v>512</v>
      </c>
      <c r="B151" s="838" t="s">
        <v>986</v>
      </c>
      <c r="C151" s="868">
        <f t="shared" si="1"/>
        <v>223</v>
      </c>
      <c r="D151" s="870">
        <f>+'Analiza fin. pok.'!D151/'Analiza fin. pok.'!D$129*100</f>
        <v>0.14519994828494995</v>
      </c>
      <c r="E151" s="870">
        <f>+'Analiza fin. pok.'!E151/'Analiza fin. pok.'!E$129*100</f>
        <v>0.2992692263078529</v>
      </c>
      <c r="F151" s="870">
        <f>+'Analiza fin. pok.'!F151/'Analiza fin. pok.'!F$129*100</f>
        <v>0.3815277005007551</v>
      </c>
      <c r="G151" s="870">
        <f>+'Analiza fin. pok.'!G151/'Analiza fin. pok.'!G$129*100</f>
        <v>0.37245822428024966</v>
      </c>
      <c r="H151" s="870">
        <f>+'Analiza fin. pok.'!H151/'Analiza fin. pok.'!H$129*100</f>
        <v>0.39020583357721195</v>
      </c>
    </row>
    <row r="152" spans="1:8" ht="12.75">
      <c r="A152" s="866">
        <v>513</v>
      </c>
      <c r="B152" s="838" t="s">
        <v>987</v>
      </c>
      <c r="C152" s="868">
        <f t="shared" si="1"/>
        <v>224</v>
      </c>
      <c r="D152" s="870">
        <f>+'Analiza fin. pok.'!D152/'Analiza fin. pok.'!D$129*100</f>
        <v>8.63541884217959</v>
      </c>
      <c r="E152" s="870">
        <f>+'Analiza fin. pok.'!E152/'Analiza fin. pok.'!E$129*100</f>
        <v>14.293005451803737</v>
      </c>
      <c r="F152" s="870">
        <f>+'Analiza fin. pok.'!F152/'Analiza fin. pok.'!F$129*100</f>
        <v>11.787616246721248</v>
      </c>
      <c r="G152" s="870">
        <f>+'Analiza fin. pok.'!G152/'Analiza fin. pok.'!G$129*100</f>
        <v>8.707469297362593</v>
      </c>
      <c r="H152" s="870">
        <f>+'Analiza fin. pok.'!H152/'Analiza fin. pok.'!H$129*100</f>
        <v>10.291678860598966</v>
      </c>
    </row>
    <row r="153" spans="1:8" ht="12.75">
      <c r="A153" s="866">
        <v>52</v>
      </c>
      <c r="B153" s="838" t="s">
        <v>988</v>
      </c>
      <c r="C153" s="868">
        <f t="shared" si="1"/>
        <v>225</v>
      </c>
      <c r="D153" s="870">
        <f>+'Analiza fin. pok.'!D153/'Analiza fin. pok.'!D$129*100</f>
        <v>23.831687402412708</v>
      </c>
      <c r="E153" s="870">
        <f>+'Analiza fin. pok.'!E153/'Analiza fin. pok.'!E$129*100</f>
        <v>23.79306344971581</v>
      </c>
      <c r="F153" s="870">
        <f>+'Analiza fin. pok.'!F153/'Analiza fin. pok.'!F$129*100</f>
        <v>20.403783483029965</v>
      </c>
      <c r="G153" s="870">
        <f>+'Analiza fin. pok.'!G153/'Analiza fin. pok.'!G$129*100</f>
        <v>31.316690155023153</v>
      </c>
      <c r="H153" s="870">
        <f>+'Analiza fin. pok.'!H153/'Analiza fin. pok.'!H$129*100</f>
        <v>27.568042142230027</v>
      </c>
    </row>
    <row r="154" spans="1:8" ht="12.75">
      <c r="A154" s="872">
        <v>520521</v>
      </c>
      <c r="B154" s="838" t="s">
        <v>989</v>
      </c>
      <c r="C154" s="868">
        <f t="shared" si="1"/>
        <v>226</v>
      </c>
      <c r="D154" s="870">
        <f>+'Analiza fin. pok.'!D154/'Analiza fin. pok.'!D$129*100</f>
        <v>16.139073703891558</v>
      </c>
      <c r="E154" s="870">
        <f>+'Analiza fin. pok.'!E154/'Analiza fin. pok.'!E$129*100</f>
        <v>15.306808954877624</v>
      </c>
      <c r="F154" s="870">
        <f>+'Analiza fin. pok.'!F154/'Analiza fin. pok.'!F$129*100</f>
        <v>12.455289722597568</v>
      </c>
      <c r="G154" s="870">
        <f>+'Analiza fin. pok.'!G154/'Analiza fin. pok.'!G$129*100</f>
        <v>19.176565331185827</v>
      </c>
      <c r="H154" s="870">
        <f>+'Analiza fin. pok.'!H154/'Analiza fin. pok.'!H$129*100</f>
        <v>16.486196468637207</v>
      </c>
    </row>
    <row r="155" spans="1:8" ht="12.75">
      <c r="A155" s="866">
        <v>522</v>
      </c>
      <c r="B155" s="838" t="s">
        <v>990</v>
      </c>
      <c r="C155" s="868">
        <f t="shared" si="1"/>
        <v>227</v>
      </c>
      <c r="D155" s="870">
        <f>+'Analiza fin. pok.'!D155/'Analiza fin. pok.'!D$129*100</f>
        <v>3.329653608616523</v>
      </c>
      <c r="E155" s="870">
        <f>+'Analiza fin. pok.'!E155/'Analiza fin. pok.'!E$129*100</f>
        <v>3.1806054982020644</v>
      </c>
      <c r="F155" s="870">
        <f>+'Analiza fin. pok.'!F155/'Analiza fin. pok.'!F$129*100</f>
        <v>2.575311978380097</v>
      </c>
      <c r="G155" s="870">
        <f>+'Analiza fin. pok.'!G155/'Analiza fin. pok.'!G$129*100</f>
        <v>3.795047312260922</v>
      </c>
      <c r="H155" s="870">
        <f>+'Analiza fin. pok.'!H155/'Analiza fin. pok.'!H$129*100</f>
        <v>4.175202419276168</v>
      </c>
    </row>
    <row r="156" spans="1:8" ht="12.75">
      <c r="A156" s="866">
        <v>523</v>
      </c>
      <c r="B156" s="838" t="s">
        <v>991</v>
      </c>
      <c r="C156" s="868">
        <f t="shared" si="1"/>
        <v>228</v>
      </c>
      <c r="D156" s="870">
        <f>+'Analiza fin. pok.'!D156/'Analiza fin. pok.'!D$129*100</f>
        <v>3.7761931756024305</v>
      </c>
      <c r="E156" s="870">
        <f>+'Analiza fin. pok.'!E156/'Analiza fin. pok.'!E$129*100</f>
        <v>4.048254262846537</v>
      </c>
      <c r="F156" s="870">
        <f>+'Analiza fin. pok.'!F156/'Analiza fin. pok.'!F$129*100</f>
        <v>4.594229393529926</v>
      </c>
      <c r="G156" s="870">
        <f>+'Analiza fin. pok.'!G156/'Analiza fin. pok.'!G$129*100</f>
        <v>6.955908999396014</v>
      </c>
      <c r="H156" s="870">
        <f>+'Analiza fin. pok.'!H156/'Analiza fin. pok.'!H$129*100</f>
        <v>6.165252170519949</v>
      </c>
    </row>
    <row r="157" spans="1:8" ht="12.75">
      <c r="A157" s="866">
        <v>529</v>
      </c>
      <c r="B157" s="838" t="s">
        <v>992</v>
      </c>
      <c r="C157" s="868">
        <f t="shared" si="1"/>
        <v>229</v>
      </c>
      <c r="D157" s="870">
        <f>+'Analiza fin. pok.'!D157/'Analiza fin. pok.'!D$129*100</f>
        <v>0.586766914302195</v>
      </c>
      <c r="E157" s="870">
        <f>+'Analiza fin. pok.'!E157/'Analiza fin. pok.'!E$129*100</f>
        <v>1.2573947337895837</v>
      </c>
      <c r="F157" s="870">
        <f>+'Analiza fin. pok.'!F157/'Analiza fin. pok.'!F$129*100</f>
        <v>0.778952388522375</v>
      </c>
      <c r="G157" s="870">
        <f>+'Analiza fin. pok.'!G157/'Analiza fin. pok.'!G$129*100</f>
        <v>1.3891685121803907</v>
      </c>
      <c r="H157" s="870">
        <f>+'Analiza fin. pok.'!H157/'Analiza fin. pok.'!H$129*100</f>
        <v>0.7413910837967027</v>
      </c>
    </row>
    <row r="158" spans="1:8" ht="12.75">
      <c r="A158" s="866">
        <v>53</v>
      </c>
      <c r="B158" s="838" t="s">
        <v>993</v>
      </c>
      <c r="C158" s="868">
        <f t="shared" si="1"/>
        <v>230</v>
      </c>
      <c r="D158" s="870">
        <f>+'Analiza fin. pok.'!D158/'Analiza fin. pok.'!D$129*100</f>
        <v>19.82178198128313</v>
      </c>
      <c r="E158" s="870">
        <f>+'Analiza fin. pok.'!E158/'Analiza fin. pok.'!E$129*100</f>
        <v>15.882148242663263</v>
      </c>
      <c r="F158" s="870">
        <f>+'Analiza fin. pok.'!F158/'Analiza fin. pok.'!F$129*100</f>
        <v>16.942214450361657</v>
      </c>
      <c r="G158" s="870">
        <f>+'Analiza fin. pok.'!G158/'Analiza fin. pok.'!G$129*100</f>
        <v>10.972417958526274</v>
      </c>
      <c r="H158" s="870">
        <f>+'Analiza fin. pok.'!H158/'Analiza fin. pok.'!H$129*100</f>
        <v>8.760120963808408</v>
      </c>
    </row>
    <row r="159" spans="1:8" ht="12.75">
      <c r="A159" s="866">
        <v>540</v>
      </c>
      <c r="B159" s="838" t="s">
        <v>994</v>
      </c>
      <c r="C159" s="868">
        <f t="shared" si="1"/>
        <v>231</v>
      </c>
      <c r="D159" s="870">
        <f>+'Analiza fin. pok.'!D159/'Analiza fin. pok.'!D$129*100</f>
        <v>8.247555966623903</v>
      </c>
      <c r="E159" s="870">
        <f>+'Analiza fin. pok.'!E159/'Analiza fin. pok.'!E$129*100</f>
        <v>14.819626493446236</v>
      </c>
      <c r="F159" s="870">
        <f>+'Analiza fin. pok.'!F159/'Analiza fin. pok.'!F$129*100</f>
        <v>9.418965106112392</v>
      </c>
      <c r="G159" s="870">
        <f>+'Analiza fin. pok.'!G159/'Analiza fin. pok.'!G$129*100</f>
        <v>15.542581034829878</v>
      </c>
      <c r="H159" s="870">
        <f>+'Analiza fin. pok.'!H159/'Analiza fin. pok.'!H$129*100</f>
        <v>10.955028777680226</v>
      </c>
    </row>
    <row r="160" spans="1:8" ht="12.75">
      <c r="A160" s="866">
        <v>541</v>
      </c>
      <c r="B160" s="838" t="s">
        <v>995</v>
      </c>
      <c r="C160" s="868">
        <f t="shared" si="1"/>
        <v>232</v>
      </c>
      <c r="D160" s="870">
        <f>+'Analiza fin. pok.'!D160/'Analiza fin. pok.'!D$129*100</f>
        <v>0</v>
      </c>
      <c r="E160" s="870">
        <f>+'Analiza fin. pok.'!E160/'Analiza fin. pok.'!E$129*100</f>
        <v>0</v>
      </c>
      <c r="F160" s="870">
        <f>+'Analiza fin. pok.'!F160/'Analiza fin. pok.'!F$129*100</f>
        <v>0</v>
      </c>
      <c r="G160" s="870">
        <f>+'Analiza fin. pok.'!G160/'Analiza fin. pok.'!G$129*100</f>
        <v>0</v>
      </c>
      <c r="H160" s="870">
        <f>+'Analiza fin. pok.'!H160/'Analiza fin. pok.'!H$129*100</f>
        <v>0</v>
      </c>
    </row>
    <row r="161" spans="1:8" ht="12.75">
      <c r="A161" s="866" t="s">
        <v>996</v>
      </c>
      <c r="B161" s="838" t="s">
        <v>622</v>
      </c>
      <c r="C161" s="868">
        <f t="shared" si="1"/>
        <v>233</v>
      </c>
      <c r="D161" s="870">
        <f>+'Analiza fin. pok.'!D161/'Analiza fin. pok.'!D$129*100</f>
        <v>9.711489691798192</v>
      </c>
      <c r="E161" s="870">
        <f>+'Analiza fin. pok.'!E161/'Analiza fin. pok.'!E$129*100</f>
        <v>9.643892819858484</v>
      </c>
      <c r="F161" s="870">
        <f>+'Analiza fin. pok.'!F161/'Analiza fin. pok.'!F$129*100</f>
        <v>16.453382084095065</v>
      </c>
      <c r="G161" s="870">
        <f>+'Analiza fin. pok.'!G161/'Analiza fin. pok.'!G$129*100</f>
        <v>18.10952285081538</v>
      </c>
      <c r="H161" s="870">
        <f>+'Analiza fin. pok.'!H161/'Analiza fin. pok.'!H$129*100</f>
        <v>15.822846551555948</v>
      </c>
    </row>
    <row r="162" spans="1:8" ht="12.75">
      <c r="A162" s="866">
        <v>556</v>
      </c>
      <c r="B162" s="838" t="s">
        <v>997</v>
      </c>
      <c r="C162" s="868">
        <f t="shared" si="1"/>
        <v>234</v>
      </c>
      <c r="D162" s="870">
        <f>+'Analiza fin. pok.'!D162/'Analiza fin. pok.'!D$129*100</f>
        <v>1.0263448399319748</v>
      </c>
      <c r="E162" s="870">
        <f>+'Analiza fin. pok.'!E162/'Analiza fin. pok.'!E$129*100</f>
        <v>0.8328500173993737</v>
      </c>
      <c r="F162" s="870">
        <f>+'Analiza fin. pok.'!F162/'Analiza fin. pok.'!F$129*100</f>
        <v>0.3179397504172959</v>
      </c>
      <c r="G162" s="870">
        <f>+'Analiza fin. pok.'!G162/'Analiza fin. pok.'!G$129*100</f>
        <v>0.5133883631971009</v>
      </c>
      <c r="H162" s="870">
        <f>+'Analiza fin. pok.'!H162/'Analiza fin. pok.'!H$129*100</f>
        <v>0.6535947712418301</v>
      </c>
    </row>
    <row r="163" spans="1:8" ht="12.75">
      <c r="A163" s="866">
        <v>557</v>
      </c>
      <c r="B163" s="838" t="s">
        <v>998</v>
      </c>
      <c r="C163" s="868">
        <f t="shared" si="1"/>
        <v>235</v>
      </c>
      <c r="D163" s="870">
        <f>+'Analiza fin. pok.'!D163/'Analiza fin. pok.'!D$129*100</f>
        <v>3.9184095633061826</v>
      </c>
      <c r="E163" s="870">
        <f>+'Analiza fin. pok.'!E163/'Analiza fin. pok.'!E$129*100</f>
        <v>4.549356223175965</v>
      </c>
      <c r="F163" s="870">
        <f>+'Analiza fin. pok.'!F163/'Analiza fin. pok.'!F$129*100</f>
        <v>5.611636594865272</v>
      </c>
      <c r="G163" s="870">
        <f>+'Analiza fin. pok.'!G163/'Analiza fin. pok.'!G$129*100</f>
        <v>8.818200120797263</v>
      </c>
      <c r="H163" s="870">
        <f>+'Analiza fin. pok.'!H163/'Analiza fin. pok.'!H$129*100</f>
        <v>7.930933567456834</v>
      </c>
    </row>
    <row r="164" spans="1:8" ht="12.75">
      <c r="A164" s="866"/>
      <c r="B164" s="838" t="s">
        <v>999</v>
      </c>
      <c r="C164" s="868">
        <f t="shared" si="1"/>
        <v>236</v>
      </c>
      <c r="D164" s="870">
        <f>+'Analiza fin. pok.'!D164/'Analiza fin. pok.'!D$129*100</f>
        <v>2.5947031854481803</v>
      </c>
      <c r="E164" s="870">
        <f>+'Analiza fin. pok.'!E164/'Analiza fin. pok.'!E$129*100</f>
        <v>0</v>
      </c>
      <c r="F164" s="870">
        <f>+'Analiza fin. pok.'!F164/'Analiza fin. pok.'!F$129*100</f>
        <v>1.0452269294968604</v>
      </c>
      <c r="G164" s="870">
        <f>+'Analiza fin. pok.'!G164/'Analiza fin. pok.'!G$129*100</f>
        <v>0</v>
      </c>
      <c r="H164" s="870">
        <f>+'Analiza fin. pok.'!H164/'Analiza fin. pok.'!H$129*100</f>
        <v>0</v>
      </c>
    </row>
    <row r="165" spans="1:8" ht="12.75">
      <c r="A165" s="866"/>
      <c r="B165" s="838" t="s">
        <v>1000</v>
      </c>
      <c r="C165" s="868">
        <f t="shared" si="1"/>
        <v>237</v>
      </c>
      <c r="D165" s="870">
        <f>+'Analiza fin. pok.'!D165/'Analiza fin. pok.'!D$129*100</f>
        <v>0</v>
      </c>
      <c r="E165" s="870">
        <f>+'Analiza fin. pok.'!E165/'Analiza fin. pok.'!E$129*100</f>
        <v>8.363298921238835</v>
      </c>
      <c r="F165" s="870">
        <f>+'Analiza fin. pok.'!F165/'Analiza fin. pok.'!F$129*100</f>
        <v>0</v>
      </c>
      <c r="G165" s="870">
        <f>+'Analiza fin. pok.'!G165/'Analiza fin. pok.'!G$129*100</f>
        <v>9.754378900744916</v>
      </c>
      <c r="H165" s="870">
        <f>+'Analiza fin. pok.'!H165/'Analiza fin. pok.'!H$129*100</f>
        <v>0.6535947712418301</v>
      </c>
    </row>
    <row r="166" spans="1:8" ht="30">
      <c r="A166" s="866"/>
      <c r="B166" s="873" t="s">
        <v>623</v>
      </c>
      <c r="C166" s="868">
        <f t="shared" si="1"/>
        <v>238</v>
      </c>
      <c r="D166" s="870">
        <f>+'Analiza fin. pok.'!D166/'Analiza fin. pok.'!D$129*100</f>
        <v>0.1740410339031934</v>
      </c>
      <c r="E166" s="870">
        <f>+'Analiza fin. pok.'!E166/'Analiza fin. pok.'!E$129*100</f>
        <v>2.5240691335111936</v>
      </c>
      <c r="F166" s="870">
        <f>+'Analiza fin. pok.'!F166/'Analiza fin. pok.'!F$129*100</f>
        <v>0.05961370320324298</v>
      </c>
      <c r="G166" s="870">
        <f>+'Analiza fin. pok.'!G166/'Analiza fin. pok.'!G$129*100</f>
        <v>0.4227904167505537</v>
      </c>
      <c r="H166" s="870">
        <f>+'Analiza fin. pok.'!H166/'Analiza fin. pok.'!H$129*100</f>
        <v>0.23412350014632718</v>
      </c>
    </row>
    <row r="167" spans="1:8" ht="12.75">
      <c r="A167" s="866">
        <v>660</v>
      </c>
      <c r="B167" s="838" t="s">
        <v>1001</v>
      </c>
      <c r="C167" s="868">
        <f t="shared" si="1"/>
        <v>239</v>
      </c>
      <c r="D167" s="870">
        <f>+'Analiza fin. pok.'!D167/'Analiza fin. pok.'!D$129*100</f>
        <v>0</v>
      </c>
      <c r="E167" s="870">
        <f>+'Analiza fin. pok.'!E167/'Analiza fin. pok.'!E$129*100</f>
        <v>0</v>
      </c>
      <c r="F167" s="870">
        <f>+'Analiza fin. pok.'!F167/'Analiza fin. pok.'!F$129*100</f>
        <v>0</v>
      </c>
      <c r="G167" s="870">
        <f>+'Analiza fin. pok.'!G167/'Analiza fin. pok.'!G$129*100</f>
        <v>0</v>
      </c>
      <c r="H167" s="870">
        <f>+'Analiza fin. pok.'!H167/'Analiza fin. pok.'!H$129*100</f>
        <v>0</v>
      </c>
    </row>
    <row r="168" spans="1:8" ht="12.75">
      <c r="A168" s="866">
        <v>661</v>
      </c>
      <c r="B168" s="838" t="s">
        <v>1002</v>
      </c>
      <c r="C168" s="868">
        <f t="shared" si="1"/>
        <v>240</v>
      </c>
      <c r="D168" s="870">
        <f>+'Analiza fin. pok.'!D168/'Analiza fin. pok.'!D$129*100</f>
        <v>0.1710574733219958</v>
      </c>
      <c r="E168" s="870">
        <f>+'Analiza fin. pok.'!E168/'Analiza fin. pok.'!E$129*100</f>
        <v>2.5240691335111936</v>
      </c>
      <c r="F168" s="870">
        <f>+'Analiza fin. pok.'!F168/'Analiza fin. pok.'!F$129*100</f>
        <v>0.05961370320324298</v>
      </c>
      <c r="G168" s="870">
        <f>+'Analiza fin. pok.'!G168/'Analiza fin. pok.'!G$129*100</f>
        <v>0.4227904167505537</v>
      </c>
      <c r="H168" s="870">
        <f>+'Analiza fin. pok.'!H168/'Analiza fin. pok.'!H$129*100</f>
        <v>0.23412350014632718</v>
      </c>
    </row>
    <row r="169" spans="1:8" ht="12.75">
      <c r="A169" s="866">
        <v>662</v>
      </c>
      <c r="B169" s="838" t="s">
        <v>1003</v>
      </c>
      <c r="C169" s="868">
        <f t="shared" si="1"/>
        <v>241</v>
      </c>
      <c r="D169" s="870">
        <f>+'Analiza fin. pok.'!D169/'Analiza fin. pok.'!D$129*100</f>
        <v>0.002983560581197601</v>
      </c>
      <c r="E169" s="870">
        <f>+'Analiza fin. pok.'!E169/'Analiza fin. pok.'!E$129*100</f>
        <v>0</v>
      </c>
      <c r="F169" s="870">
        <f>+'Analiza fin. pok.'!F169/'Analiza fin. pok.'!F$129*100</f>
        <v>0</v>
      </c>
      <c r="G169" s="870">
        <f>+'Analiza fin. pok.'!G169/'Analiza fin. pok.'!G$129*100</f>
        <v>0</v>
      </c>
      <c r="H169" s="870">
        <f>+'Analiza fin. pok.'!H169/'Analiza fin. pok.'!H$129*100</f>
        <v>0</v>
      </c>
    </row>
    <row r="170" spans="1:8" ht="12.75">
      <c r="A170" s="866">
        <v>669</v>
      </c>
      <c r="B170" s="838" t="s">
        <v>1004</v>
      </c>
      <c r="C170" s="868">
        <f t="shared" si="1"/>
        <v>242</v>
      </c>
      <c r="D170" s="870">
        <f>+'Analiza fin. pok.'!D170/'Analiza fin. pok.'!D$129*100</f>
        <v>0</v>
      </c>
      <c r="E170" s="870">
        <f>+'Analiza fin. pok.'!E170/'Analiza fin. pok.'!E$129*100</f>
        <v>0</v>
      </c>
      <c r="F170" s="870">
        <f>+'Analiza fin. pok.'!F170/'Analiza fin. pok.'!F$129*100</f>
        <v>0</v>
      </c>
      <c r="G170" s="870">
        <f>+'Analiza fin. pok.'!G170/'Analiza fin. pok.'!G$129*100</f>
        <v>0</v>
      </c>
      <c r="H170" s="870">
        <f>+'Analiza fin. pok.'!H170/'Analiza fin. pok.'!H$129*100</f>
        <v>0</v>
      </c>
    </row>
    <row r="171" spans="1:8" ht="15">
      <c r="A171" s="866"/>
      <c r="B171" s="874" t="s">
        <v>1005</v>
      </c>
      <c r="C171" s="868">
        <f t="shared" si="1"/>
        <v>243</v>
      </c>
      <c r="D171" s="870">
        <f>+'Analiza fin. pok.'!D171/'Analiza fin. pok.'!D$129*100</f>
        <v>0.9994927947011965</v>
      </c>
      <c r="E171" s="870">
        <f>+'Analiza fin. pok.'!E171/'Analiza fin. pok.'!E$129*100</f>
        <v>3.860341027723002</v>
      </c>
      <c r="F171" s="870">
        <f>+'Analiza fin. pok.'!F171/'Analiza fin. pok.'!F$129*100</f>
        <v>0.17089261584929658</v>
      </c>
      <c r="G171" s="870">
        <f>+'Analiza fin. pok.'!G171/'Analiza fin. pok.'!G$129*100</f>
        <v>0.20132876988121604</v>
      </c>
      <c r="H171" s="870">
        <f>+'Analiza fin. pok.'!H171/'Analiza fin. pok.'!H$129*100</f>
        <v>0.9364940005853087</v>
      </c>
    </row>
    <row r="172" spans="1:8" ht="12.75">
      <c r="A172" s="866">
        <v>560</v>
      </c>
      <c r="B172" s="838" t="s">
        <v>1006</v>
      </c>
      <c r="C172" s="868">
        <f t="shared" si="1"/>
        <v>244</v>
      </c>
      <c r="D172" s="870">
        <f>+'Analiza fin. pok.'!D172/'Analiza fin. pok.'!D$129*100</f>
        <v>0</v>
      </c>
      <c r="E172" s="870">
        <f>+'Analiza fin. pok.'!E172/'Analiza fin. pok.'!E$129*100</f>
        <v>0</v>
      </c>
      <c r="F172" s="870">
        <f>+'Analiza fin. pok.'!F172/'Analiza fin. pok.'!F$129*100</f>
        <v>0</v>
      </c>
      <c r="G172" s="870">
        <f>+'Analiza fin. pok.'!G172/'Analiza fin. pok.'!G$129*100</f>
        <v>0</v>
      </c>
      <c r="H172" s="870">
        <f>+'Analiza fin. pok.'!H172/'Analiza fin. pok.'!H$129*100</f>
        <v>0</v>
      </c>
    </row>
    <row r="173" spans="1:8" ht="12.75">
      <c r="A173" s="866">
        <v>561</v>
      </c>
      <c r="B173" s="838" t="s">
        <v>1007</v>
      </c>
      <c r="C173" s="868">
        <f t="shared" si="1"/>
        <v>245</v>
      </c>
      <c r="D173" s="870">
        <f>+'Analiza fin. pok.'!D173/'Analiza fin. pok.'!D$129*100</f>
        <v>0.8483257252538512</v>
      </c>
      <c r="E173" s="870">
        <f>+'Analiza fin. pok.'!E173/'Analiza fin. pok.'!E$129*100</f>
        <v>3.860341027723002</v>
      </c>
      <c r="F173" s="870">
        <f>+'Analiza fin. pok.'!F173/'Analiza fin. pok.'!F$129*100</f>
        <v>0.17089261584929658</v>
      </c>
      <c r="G173" s="870">
        <f>+'Analiza fin. pok.'!G173/'Analiza fin. pok.'!G$129*100</f>
        <v>0.20132876988121604</v>
      </c>
      <c r="H173" s="870">
        <f>+'Analiza fin. pok.'!H173/'Analiza fin. pok.'!H$129*100</f>
        <v>0.9364940005853087</v>
      </c>
    </row>
    <row r="174" spans="1:8" ht="12.75">
      <c r="A174" s="866">
        <v>562</v>
      </c>
      <c r="B174" s="838" t="s">
        <v>1008</v>
      </c>
      <c r="C174" s="868">
        <f t="shared" si="1"/>
        <v>246</v>
      </c>
      <c r="D174" s="870">
        <f>+'Analiza fin. pok.'!D174/'Analiza fin. pok.'!D$129*100</f>
        <v>0</v>
      </c>
      <c r="E174" s="870">
        <f>+'Analiza fin. pok.'!E174/'Analiza fin. pok.'!E$129*100</f>
        <v>0</v>
      </c>
      <c r="F174" s="870">
        <f>+'Analiza fin. pok.'!F174/'Analiza fin. pok.'!F$129*100</f>
        <v>0</v>
      </c>
      <c r="G174" s="870">
        <f>+'Analiza fin. pok.'!G174/'Analiza fin. pok.'!G$129*100</f>
        <v>0</v>
      </c>
      <c r="H174" s="870">
        <f>+'Analiza fin. pok.'!H174/'Analiza fin. pok.'!H$129*100</f>
        <v>0</v>
      </c>
    </row>
    <row r="175" spans="1:8" ht="12.75">
      <c r="A175" s="866">
        <v>563</v>
      </c>
      <c r="B175" s="838" t="s">
        <v>1009</v>
      </c>
      <c r="C175" s="868">
        <f t="shared" si="1"/>
        <v>247</v>
      </c>
      <c r="D175" s="870">
        <f>+'Analiza fin. pok.'!D175/'Analiza fin. pok.'!D$129*100</f>
        <v>0</v>
      </c>
      <c r="E175" s="870">
        <f>+'Analiza fin. pok.'!E175/'Analiza fin. pok.'!E$129*100</f>
        <v>0</v>
      </c>
      <c r="F175" s="870">
        <f>+'Analiza fin. pok.'!F175/'Analiza fin. pok.'!F$129*100</f>
        <v>0</v>
      </c>
      <c r="G175" s="870">
        <f>+'Analiza fin. pok.'!G175/'Analiza fin. pok.'!G$129*100</f>
        <v>0</v>
      </c>
      <c r="H175" s="870">
        <f>+'Analiza fin. pok.'!H175/'Analiza fin. pok.'!H$129*100</f>
        <v>0</v>
      </c>
    </row>
    <row r="176" spans="1:8" ht="12.75">
      <c r="A176" s="866">
        <v>569</v>
      </c>
      <c r="B176" s="838" t="s">
        <v>1010</v>
      </c>
      <c r="C176" s="868">
        <f t="shared" si="1"/>
        <v>248</v>
      </c>
      <c r="D176" s="870">
        <f>+'Analiza fin. pok.'!D176/'Analiza fin. pok.'!D$129*100</f>
        <v>0.15116706944734512</v>
      </c>
      <c r="E176" s="870">
        <f>+'Analiza fin. pok.'!E176/'Analiza fin. pok.'!E$129*100</f>
        <v>0</v>
      </c>
      <c r="F176" s="870">
        <f>+'Analiza fin. pok.'!F176/'Analiza fin. pok.'!F$129*100</f>
        <v>0</v>
      </c>
      <c r="G176" s="870">
        <f>+'Analiza fin. pok.'!G176/'Analiza fin. pok.'!G$129*100</f>
        <v>0</v>
      </c>
      <c r="H176" s="870">
        <f>+'Analiza fin. pok.'!H176/'Analiza fin. pok.'!H$129*100</f>
        <v>0</v>
      </c>
    </row>
    <row r="177" spans="1:8" ht="15">
      <c r="A177" s="866"/>
      <c r="B177" s="874" t="s">
        <v>1011</v>
      </c>
      <c r="C177" s="868">
        <f t="shared" si="1"/>
        <v>249</v>
      </c>
      <c r="D177" s="870">
        <f>+'Analiza fin. pok.'!D177/'Analiza fin. pok.'!D$129*100</f>
        <v>0</v>
      </c>
      <c r="E177" s="870">
        <f>+'Analiza fin. pok.'!E177/'Analiza fin. pok.'!E$129*100</f>
        <v>0</v>
      </c>
      <c r="F177" s="870">
        <f>+'Analiza fin. pok.'!F177/'Analiza fin. pok.'!F$129*100</f>
        <v>0</v>
      </c>
      <c r="G177" s="870">
        <f>+'Analiza fin. pok.'!G177/'Analiza fin. pok.'!G$129*100</f>
        <v>0.22146164686933761</v>
      </c>
      <c r="H177" s="870">
        <f>+'Analiza fin. pok.'!H177/'Analiza fin. pok.'!H$129*100</f>
        <v>0</v>
      </c>
    </row>
    <row r="178" spans="1:8" ht="15">
      <c r="A178" s="866"/>
      <c r="B178" s="874" t="s">
        <v>1012</v>
      </c>
      <c r="C178" s="868">
        <f t="shared" si="1"/>
        <v>250</v>
      </c>
      <c r="D178" s="870">
        <f>+'Analiza fin. pok.'!D178/'Analiza fin. pok.'!D$129*100</f>
        <v>0.825451760798003</v>
      </c>
      <c r="E178" s="870">
        <f>+'Analiza fin. pok.'!E178/'Analiza fin. pok.'!E$129*100</f>
        <v>1.3362718942118084</v>
      </c>
      <c r="F178" s="870">
        <f>+'Analiza fin. pok.'!F178/'Analiza fin. pok.'!F$129*100</f>
        <v>0.11127891264605357</v>
      </c>
      <c r="G178" s="870">
        <f>+'Analiza fin. pok.'!G178/'Analiza fin. pok.'!G$129*100</f>
        <v>0</v>
      </c>
      <c r="H178" s="870">
        <f>+'Analiza fin. pok.'!H178/'Analiza fin. pok.'!H$129*100</f>
        <v>0.7023705004389815</v>
      </c>
    </row>
    <row r="179" spans="1:8" ht="60">
      <c r="A179" s="866"/>
      <c r="B179" s="873" t="s">
        <v>624</v>
      </c>
      <c r="C179" s="868">
        <f t="shared" si="1"/>
        <v>251</v>
      </c>
      <c r="D179" s="870">
        <f>+'Analiza fin. pok.'!D179/'Analiza fin. pok.'!D$129*100</f>
        <v>0.1889588368091814</v>
      </c>
      <c r="E179" s="870">
        <f>+'Analiza fin. pok.'!E179/'Analiza fin. pok.'!E$129*100</f>
        <v>0.2923094768588331</v>
      </c>
      <c r="F179" s="870">
        <f>+'Analiza fin. pok.'!F179/'Analiza fin. pok.'!F$129*100</f>
        <v>0.7471584134806454</v>
      </c>
      <c r="G179" s="870">
        <f>+'Analiza fin. pok.'!G179/'Analiza fin. pok.'!G$129*100</f>
        <v>0.15099657741091202</v>
      </c>
      <c r="H179" s="870">
        <f>+'Analiza fin. pok.'!H179/'Analiza fin. pok.'!H$129*100</f>
        <v>0.6535947712418301</v>
      </c>
    </row>
    <row r="180" spans="1:8" ht="12.75">
      <c r="A180" s="866">
        <v>670</v>
      </c>
      <c r="B180" s="838" t="s">
        <v>1013</v>
      </c>
      <c r="C180" s="868">
        <f t="shared" si="1"/>
        <v>252</v>
      </c>
      <c r="D180" s="870">
        <f>+'Analiza fin. pok.'!D180/'Analiza fin. pok.'!D$129*100</f>
        <v>0</v>
      </c>
      <c r="E180" s="870">
        <f>+'Analiza fin. pok.'!E180/'Analiza fin. pok.'!E$129*100</f>
        <v>0.05335807910915207</v>
      </c>
      <c r="F180" s="870">
        <f>+'Analiza fin. pok.'!F180/'Analiza fin. pok.'!F$129*100</f>
        <v>0</v>
      </c>
      <c r="G180" s="870">
        <f>+'Analiza fin. pok.'!G180/'Analiza fin. pok.'!G$129*100</f>
        <v>0</v>
      </c>
      <c r="H180" s="870">
        <f>+'Analiza fin. pok.'!H180/'Analiza fin. pok.'!H$129*100</f>
        <v>0</v>
      </c>
    </row>
    <row r="181" spans="1:8" ht="12.75">
      <c r="A181" s="866">
        <v>671</v>
      </c>
      <c r="B181" s="838" t="s">
        <v>1014</v>
      </c>
      <c r="C181" s="868">
        <f t="shared" si="1"/>
        <v>253</v>
      </c>
      <c r="D181" s="870">
        <f>+'Analiza fin. pok.'!D181/'Analiza fin. pok.'!D$129*100</f>
        <v>0</v>
      </c>
      <c r="E181" s="870">
        <f>+'Analiza fin. pok.'!E181/'Analiza fin. pok.'!E$129*100</f>
        <v>0</v>
      </c>
      <c r="F181" s="870">
        <f>+'Analiza fin. pok.'!F181/'Analiza fin. pok.'!F$129*100</f>
        <v>0</v>
      </c>
      <c r="G181" s="870">
        <f>+'Analiza fin. pok.'!G181/'Analiza fin. pok.'!G$129*100</f>
        <v>0</v>
      </c>
      <c r="H181" s="870">
        <f>+'Analiza fin. pok.'!H181/'Analiza fin. pok.'!H$129*100</f>
        <v>0</v>
      </c>
    </row>
    <row r="182" spans="1:8" ht="12.75">
      <c r="A182" s="866">
        <v>672</v>
      </c>
      <c r="B182" s="838" t="s">
        <v>1015</v>
      </c>
      <c r="C182" s="868">
        <f t="shared" si="1"/>
        <v>254</v>
      </c>
      <c r="D182" s="870">
        <f>+'Analiza fin. pok.'!D182/'Analiza fin. pok.'!D$129*100</f>
        <v>0</v>
      </c>
      <c r="E182" s="870">
        <f>+'Analiza fin. pok.'!E182/'Analiza fin. pok.'!E$129*100</f>
        <v>0</v>
      </c>
      <c r="F182" s="870">
        <f>+'Analiza fin. pok.'!F182/'Analiza fin. pok.'!F$129*100</f>
        <v>0</v>
      </c>
      <c r="G182" s="870">
        <f>+'Analiza fin. pok.'!G182/'Analiza fin. pok.'!G$129*100</f>
        <v>0</v>
      </c>
      <c r="H182" s="870">
        <f>+'Analiza fin. pok.'!H182/'Analiza fin. pok.'!H$129*100</f>
        <v>0</v>
      </c>
    </row>
    <row r="183" spans="1:8" ht="12.75">
      <c r="A183" s="866">
        <v>673</v>
      </c>
      <c r="B183" s="838" t="s">
        <v>1016</v>
      </c>
      <c r="C183" s="868">
        <f t="shared" si="1"/>
        <v>255</v>
      </c>
      <c r="D183" s="870">
        <f>+'Analiza fin. pok.'!D183/'Analiza fin. pok.'!D$129*100</f>
        <v>0</v>
      </c>
      <c r="E183" s="870">
        <f>+'Analiza fin. pok.'!E183/'Analiza fin. pok.'!E$129*100</f>
        <v>0.04871824614313885</v>
      </c>
      <c r="F183" s="870">
        <f>+'Analiza fin. pok.'!F183/'Analiza fin. pok.'!F$129*100</f>
        <v>0.04371671568237819</v>
      </c>
      <c r="G183" s="870">
        <f>+'Analiza fin. pok.'!G183/'Analiza fin. pok.'!G$129*100</f>
        <v>0.030199315482182406</v>
      </c>
      <c r="H183" s="870">
        <f>+'Analiza fin. pok.'!H183/'Analiza fin. pok.'!H$129*100</f>
        <v>0.4780021461320847</v>
      </c>
    </row>
    <row r="184" spans="1:8" ht="12.75">
      <c r="A184" s="866">
        <v>674</v>
      </c>
      <c r="B184" s="838" t="s">
        <v>1017</v>
      </c>
      <c r="C184" s="868">
        <f t="shared" si="1"/>
        <v>256</v>
      </c>
      <c r="D184" s="870">
        <f>+'Analiza fin. pok.'!D184/'Analiza fin. pok.'!D$129*100</f>
        <v>0</v>
      </c>
      <c r="E184" s="870">
        <f>+'Analiza fin. pok.'!E184/'Analiza fin. pok.'!E$129*100</f>
        <v>0</v>
      </c>
      <c r="F184" s="870">
        <f>+'Analiza fin. pok.'!F184/'Analiza fin. pok.'!F$129*100</f>
        <v>0</v>
      </c>
      <c r="G184" s="870">
        <f>+'Analiza fin. pok.'!G184/'Analiza fin. pok.'!G$129*100</f>
        <v>0</v>
      </c>
      <c r="H184" s="870">
        <f>+'Analiza fin. pok.'!H184/'Analiza fin. pok.'!H$129*100</f>
        <v>0</v>
      </c>
    </row>
    <row r="185" spans="1:8" ht="38.25">
      <c r="A185" s="872">
        <v>675676</v>
      </c>
      <c r="B185" s="869" t="s">
        <v>625</v>
      </c>
      <c r="C185" s="868">
        <f t="shared" si="1"/>
        <v>257</v>
      </c>
      <c r="D185" s="870">
        <f>+'Analiza fin. pok.'!D185/'Analiza fin. pok.'!D$129*100</f>
        <v>0</v>
      </c>
      <c r="E185" s="870">
        <f>+'Analiza fin. pok.'!E185/'Analiza fin. pok.'!E$129*100</f>
        <v>0</v>
      </c>
      <c r="F185" s="870">
        <f>+'Analiza fin. pok.'!F185/'Analiza fin. pok.'!F$129*100</f>
        <v>0</v>
      </c>
      <c r="G185" s="870">
        <f>+'Analiza fin. pok.'!G185/'Analiza fin. pok.'!G$129*100</f>
        <v>0</v>
      </c>
      <c r="H185" s="870">
        <f>+'Analiza fin. pok.'!H185/'Analiza fin. pok.'!H$129*100</f>
        <v>0</v>
      </c>
    </row>
    <row r="186" spans="1:8" ht="12.75">
      <c r="A186" s="866">
        <v>679</v>
      </c>
      <c r="B186" s="838" t="s">
        <v>1018</v>
      </c>
      <c r="C186" s="868">
        <f t="shared" si="1"/>
        <v>258</v>
      </c>
      <c r="D186" s="870">
        <f>+'Analiza fin. pok.'!D186/'Analiza fin. pok.'!D$129*100</f>
        <v>0.1889588368091814</v>
      </c>
      <c r="E186" s="870">
        <f>+'Analiza fin. pok.'!E186/'Analiza fin. pok.'!E$129*100</f>
        <v>0.19023315160654217</v>
      </c>
      <c r="F186" s="870">
        <f>+'Analiza fin. pok.'!F186/'Analiza fin. pok.'!F$129*100</f>
        <v>0.7034416977982673</v>
      </c>
      <c r="G186" s="870">
        <f>+'Analiza fin. pok.'!G186/'Analiza fin. pok.'!G$129*100</f>
        <v>0.12079726192872962</v>
      </c>
      <c r="H186" s="870">
        <f>+'Analiza fin. pok.'!H186/'Analiza fin. pok.'!H$129*100</f>
        <v>0.17559262510974538</v>
      </c>
    </row>
    <row r="187" spans="1:8" ht="15">
      <c r="A187" s="872">
        <v>570571</v>
      </c>
      <c r="B187" s="874" t="s">
        <v>1019</v>
      </c>
      <c r="C187" s="868">
        <f t="shared" si="1"/>
        <v>259</v>
      </c>
      <c r="D187" s="870">
        <f>+'Analiza fin. pok.'!D187/'Analiza fin. pok.'!D$129*100</f>
        <v>1.2700022873964456</v>
      </c>
      <c r="E187" s="870">
        <f>+'Analiza fin. pok.'!E187/'Analiza fin. pok.'!E$129*100</f>
        <v>0.38742605266210417</v>
      </c>
      <c r="F187" s="870">
        <f>+'Analiza fin. pok.'!F187/'Analiza fin. pok.'!F$129*100</f>
        <v>0</v>
      </c>
      <c r="G187" s="870">
        <f>+'Analiza fin. pok.'!G187/'Analiza fin. pok.'!G$129*100</f>
        <v>0.16106301590497282</v>
      </c>
      <c r="H187" s="870">
        <f>+'Analiza fin. pok.'!H187/'Analiza fin. pok.'!H$129*100</f>
        <v>0.09755145839430299</v>
      </c>
    </row>
    <row r="188" spans="1:8" ht="38.25">
      <c r="A188" s="866" t="s">
        <v>1020</v>
      </c>
      <c r="B188" s="869" t="s">
        <v>626</v>
      </c>
      <c r="C188" s="868">
        <f t="shared" si="1"/>
        <v>260</v>
      </c>
      <c r="D188" s="870">
        <f>+'Analiza fin. pok.'!D188/'Analiza fin. pok.'!D$129*100</f>
        <v>0.11039174150431126</v>
      </c>
      <c r="E188" s="870">
        <f>+'Analiza fin. pok.'!E188/'Analiza fin. pok.'!E$129*100</f>
        <v>0</v>
      </c>
      <c r="F188" s="870">
        <f>+'Analiza fin. pok.'!F188/'Analiza fin. pok.'!F$129*100</f>
        <v>0</v>
      </c>
      <c r="G188" s="870">
        <f>+'Analiza fin. pok.'!G188/'Analiza fin. pok.'!G$129*100</f>
        <v>0</v>
      </c>
      <c r="H188" s="870">
        <f>+'Analiza fin. pok.'!H188/'Analiza fin. pok.'!H$129*100</f>
        <v>0</v>
      </c>
    </row>
    <row r="189" spans="1:8" ht="12.75">
      <c r="A189" s="866">
        <v>572</v>
      </c>
      <c r="B189" s="838" t="s">
        <v>1021</v>
      </c>
      <c r="C189" s="868">
        <f t="shared" si="1"/>
        <v>261</v>
      </c>
      <c r="D189" s="870">
        <f>+'Analiza fin. pok.'!D189/'Analiza fin. pok.'!D$129*100</f>
        <v>0</v>
      </c>
      <c r="E189" s="870">
        <f>+'Analiza fin. pok.'!E189/'Analiza fin. pok.'!E$129*100</f>
        <v>0</v>
      </c>
      <c r="F189" s="870">
        <f>+'Analiza fin. pok.'!F189/'Analiza fin. pok.'!F$129*100</f>
        <v>0</v>
      </c>
      <c r="G189" s="870">
        <f>+'Analiza fin. pok.'!G189/'Analiza fin. pok.'!G$129*100</f>
        <v>0</v>
      </c>
      <c r="H189" s="870">
        <f>+'Analiza fin. pok.'!H189/'Analiza fin. pok.'!H$129*100</f>
        <v>0</v>
      </c>
    </row>
    <row r="190" spans="1:8" ht="12.75">
      <c r="A190" s="866">
        <v>573</v>
      </c>
      <c r="B190" s="838" t="s">
        <v>1022</v>
      </c>
      <c r="C190" s="868">
        <f t="shared" si="1"/>
        <v>262</v>
      </c>
      <c r="D190" s="870">
        <f>+'Analiza fin. pok.'!D190/'Analiza fin. pok.'!D$129*100</f>
        <v>0</v>
      </c>
      <c r="E190" s="870">
        <f>+'Analiza fin. pok.'!E190/'Analiza fin. pok.'!E$129*100</f>
        <v>0</v>
      </c>
      <c r="F190" s="870">
        <f>+'Analiza fin. pok.'!F190/'Analiza fin. pok.'!F$129*100</f>
        <v>0</v>
      </c>
      <c r="G190" s="870">
        <f>+'Analiza fin. pok.'!G190/'Analiza fin. pok.'!G$129*100</f>
        <v>0</v>
      </c>
      <c r="H190" s="870">
        <f>+'Analiza fin. pok.'!H190/'Analiza fin. pok.'!H$129*100</f>
        <v>0</v>
      </c>
    </row>
    <row r="191" spans="1:8" ht="12.75">
      <c r="A191" s="866">
        <v>574</v>
      </c>
      <c r="B191" s="838" t="s">
        <v>1023</v>
      </c>
      <c r="C191" s="868">
        <f t="shared" si="1"/>
        <v>263</v>
      </c>
      <c r="D191" s="870">
        <f>+'Analiza fin. pok.'!D191/'Analiza fin. pok.'!D$129*100</f>
        <v>0.20288211952143687</v>
      </c>
      <c r="E191" s="870">
        <f>+'Analiza fin. pok.'!E191/'Analiza fin. pok.'!E$129*100</f>
        <v>0.34334763948497854</v>
      </c>
      <c r="F191" s="870">
        <f>+'Analiza fin. pok.'!F191/'Analiza fin. pok.'!F$129*100</f>
        <v>0</v>
      </c>
      <c r="G191" s="870">
        <f>+'Analiza fin. pok.'!G191/'Analiza fin. pok.'!G$129*100</f>
        <v>0</v>
      </c>
      <c r="H191" s="870">
        <f>+'Analiza fin. pok.'!H191/'Analiza fin. pok.'!H$129*100</f>
        <v>0.09755145839430299</v>
      </c>
    </row>
    <row r="192" spans="1:8" ht="12.75">
      <c r="A192" s="872">
        <v>575</v>
      </c>
      <c r="B192" s="838" t="s">
        <v>1024</v>
      </c>
      <c r="C192" s="868">
        <f t="shared" si="1"/>
        <v>264</v>
      </c>
      <c r="D192" s="870">
        <f>+'Analiza fin. pok.'!D192/'Analiza fin. pok.'!D$129*100</f>
        <v>0</v>
      </c>
      <c r="E192" s="870">
        <f>+'Analiza fin. pok.'!E192/'Analiza fin. pok.'!E$129*100</f>
        <v>0</v>
      </c>
      <c r="F192" s="870">
        <f>+'Analiza fin. pok.'!F192/'Analiza fin. pok.'!F$129*100</f>
        <v>0</v>
      </c>
      <c r="G192" s="870">
        <f>+'Analiza fin. pok.'!G192/'Analiza fin. pok.'!G$129*100</f>
        <v>0</v>
      </c>
      <c r="H192" s="870">
        <f>+'Analiza fin. pok.'!H192/'Analiza fin. pok.'!H$129*100</f>
        <v>0</v>
      </c>
    </row>
    <row r="193" spans="1:8" ht="12.75">
      <c r="A193" s="872">
        <v>576</v>
      </c>
      <c r="B193" s="838" t="s">
        <v>1025</v>
      </c>
      <c r="C193" s="868">
        <f t="shared" si="1"/>
        <v>265</v>
      </c>
      <c r="D193" s="870">
        <f>+'Analiza fin. pok.'!D193/'Analiza fin. pok.'!D$129*100</f>
        <v>0.04375888852423148</v>
      </c>
      <c r="E193" s="870">
        <f>+'Analiza fin. pok.'!E193/'Analiza fin. pok.'!E$129*100</f>
        <v>0</v>
      </c>
      <c r="F193" s="870">
        <f>+'Analiza fin. pok.'!F193/'Analiza fin. pok.'!F$129*100</f>
        <v>0</v>
      </c>
      <c r="G193" s="870">
        <f>+'Analiza fin. pok.'!G193/'Analiza fin. pok.'!G$129*100</f>
        <v>0</v>
      </c>
      <c r="H193" s="870">
        <f>+'Analiza fin. pok.'!H193/'Analiza fin. pok.'!H$129*100</f>
        <v>0</v>
      </c>
    </row>
    <row r="194" spans="1:8" ht="12.75">
      <c r="A194" s="866" t="s">
        <v>1026</v>
      </c>
      <c r="B194" s="838" t="s">
        <v>1027</v>
      </c>
      <c r="C194" s="868">
        <f t="shared" si="1"/>
        <v>266</v>
      </c>
      <c r="D194" s="870">
        <f>+'Analiza fin. pok.'!D194/'Analiza fin. pok.'!D$129*100</f>
        <v>0</v>
      </c>
      <c r="E194" s="870">
        <f>+'Analiza fin. pok.'!E194/'Analiza fin. pok.'!E$129*100</f>
        <v>0</v>
      </c>
      <c r="F194" s="870">
        <f>+'Analiza fin. pok.'!F194/'Analiza fin. pok.'!F$129*100</f>
        <v>0</v>
      </c>
      <c r="G194" s="870">
        <f>+'Analiza fin. pok.'!G194/'Analiza fin. pok.'!G$129*100</f>
        <v>0</v>
      </c>
      <c r="H194" s="870">
        <f>+'Analiza fin. pok.'!H194/'Analiza fin. pok.'!H$129*100</f>
        <v>0</v>
      </c>
    </row>
    <row r="195" spans="1:8" ht="12.75">
      <c r="A195" s="866">
        <v>579</v>
      </c>
      <c r="B195" s="838" t="s">
        <v>1028</v>
      </c>
      <c r="C195" s="868">
        <f aca="true" t="shared" si="2" ref="C195:C217">+C194+1</f>
        <v>267</v>
      </c>
      <c r="D195" s="870">
        <f>+'Analiza fin. pok.'!D195/'Analiza fin. pok.'!D$129*100</f>
        <v>0.912969537846466</v>
      </c>
      <c r="E195" s="870">
        <f>+'Analiza fin. pok.'!E195/'Analiza fin. pok.'!E$129*100</f>
        <v>0.044078413177125624</v>
      </c>
      <c r="F195" s="870">
        <f>+'Analiza fin. pok.'!F195/'Analiza fin. pok.'!F$129*100</f>
        <v>0</v>
      </c>
      <c r="G195" s="870">
        <f>+'Analiza fin. pok.'!G195/'Analiza fin. pok.'!G$129*100</f>
        <v>0.16106301590497282</v>
      </c>
      <c r="H195" s="870">
        <f>+'Analiza fin. pok.'!H195/'Analiza fin. pok.'!H$129*100</f>
        <v>0</v>
      </c>
    </row>
    <row r="196" spans="1:8" ht="12.75">
      <c r="A196" s="866"/>
      <c r="B196" s="838" t="s">
        <v>1029</v>
      </c>
      <c r="C196" s="868">
        <f t="shared" si="2"/>
        <v>268</v>
      </c>
      <c r="D196" s="870">
        <f>+'Analiza fin. pok.'!D196/'Analiza fin. pok.'!D$129*100</f>
        <v>0</v>
      </c>
      <c r="E196" s="870">
        <f>+'Analiza fin. pok.'!E196/'Analiza fin. pok.'!E$129*100</f>
        <v>0</v>
      </c>
      <c r="F196" s="870">
        <f>+'Analiza fin. pok.'!F196/'Analiza fin. pok.'!F$129*100</f>
        <v>0.7471584134806454</v>
      </c>
      <c r="G196" s="870">
        <f>+'Analiza fin. pok.'!G196/'Analiza fin. pok.'!G$129*100</f>
        <v>0</v>
      </c>
      <c r="H196" s="870">
        <f>+'Analiza fin. pok.'!H196/'Analiza fin. pok.'!H$129*100</f>
        <v>0.5560433128475271</v>
      </c>
    </row>
    <row r="197" spans="1:8" ht="12.75">
      <c r="A197" s="866"/>
      <c r="B197" s="838" t="s">
        <v>1030</v>
      </c>
      <c r="C197" s="868">
        <f t="shared" si="2"/>
        <v>269</v>
      </c>
      <c r="D197" s="870">
        <f>+'Analiza fin. pok.'!D197/'Analiza fin. pok.'!D$129*100</f>
        <v>1.0810434505872641</v>
      </c>
      <c r="E197" s="870">
        <f>+'Analiza fin. pok.'!E197/'Analiza fin. pok.'!E$129*100</f>
        <v>0.09511657580327108</v>
      </c>
      <c r="F197" s="870">
        <f>+'Analiza fin. pok.'!F197/'Analiza fin. pok.'!F$129*100</f>
        <v>0</v>
      </c>
      <c r="G197" s="870">
        <f>+'Analiza fin. pok.'!G197/'Analiza fin. pok.'!G$129*100</f>
        <v>0.010066438494060801</v>
      </c>
      <c r="H197" s="870">
        <f>+'Analiza fin. pok.'!H197/'Analiza fin. pok.'!H$129*100</f>
        <v>0</v>
      </c>
    </row>
    <row r="198" spans="1:8" ht="25.5">
      <c r="A198" s="866"/>
      <c r="B198" s="869" t="s">
        <v>627</v>
      </c>
      <c r="C198" s="868">
        <f t="shared" si="2"/>
        <v>270</v>
      </c>
      <c r="D198" s="870">
        <f>+'Analiza fin. pok.'!D198/'Analiza fin. pok.'!D$129*100</f>
        <v>0</v>
      </c>
      <c r="E198" s="870">
        <f>+'Analiza fin. pok.'!E198/'Analiza fin. pok.'!E$129*100</f>
        <v>0</v>
      </c>
      <c r="F198" s="870">
        <f>+'Analiza fin. pok.'!F198/'Analiza fin. pok.'!F$129*100</f>
        <v>66.79516731579366</v>
      </c>
      <c r="G198" s="870">
        <f>+'Analiza fin. pok.'!G198/'Analiza fin. pok.'!G$129*100</f>
        <v>51.73142742097846</v>
      </c>
      <c r="H198" s="870">
        <f>+'Analiza fin. pok.'!H198/'Analiza fin. pok.'!H$129*100</f>
        <v>38.83523558677202</v>
      </c>
    </row>
    <row r="199" spans="1:8" ht="25.5">
      <c r="A199" s="866">
        <v>680</v>
      </c>
      <c r="B199" s="869" t="s">
        <v>1031</v>
      </c>
      <c r="C199" s="868">
        <f t="shared" si="2"/>
        <v>271</v>
      </c>
      <c r="D199" s="870">
        <f>+'Analiza fin. pok.'!D199/'Analiza fin. pok.'!D$129*100</f>
        <v>0</v>
      </c>
      <c r="E199" s="870">
        <f>+'Analiza fin. pok.'!E199/'Analiza fin. pok.'!E$129*100</f>
        <v>0</v>
      </c>
      <c r="F199" s="870">
        <f>+'Analiza fin. pok.'!F199/'Analiza fin. pok.'!F$129*100</f>
        <v>56.903266830935536</v>
      </c>
      <c r="G199" s="870">
        <f>+'Analiza fin. pok.'!G199/'Analiza fin. pok.'!G$129*100</f>
        <v>48.01691161667002</v>
      </c>
      <c r="H199" s="870">
        <f>+'Analiza fin. pok.'!H199/'Analiza fin. pok.'!H$129*100</f>
        <v>38.73768412837772</v>
      </c>
    </row>
    <row r="200" spans="1:8" ht="12.75">
      <c r="A200" s="866">
        <v>681</v>
      </c>
      <c r="B200" s="838" t="s">
        <v>1032</v>
      </c>
      <c r="C200" s="868">
        <f t="shared" si="2"/>
        <v>272</v>
      </c>
      <c r="D200" s="870">
        <f>+'Analiza fin. pok.'!D200/'Analiza fin. pok.'!D$129*100</f>
        <v>0</v>
      </c>
      <c r="E200" s="870">
        <f>+'Analiza fin. pok.'!E200/'Analiza fin. pok.'!E$129*100</f>
        <v>0</v>
      </c>
      <c r="F200" s="870">
        <f>+'Analiza fin. pok.'!F200/'Analiza fin. pok.'!F$129*100</f>
        <v>9.89190048485812</v>
      </c>
      <c r="G200" s="870">
        <f>+'Analiza fin. pok.'!G200/'Analiza fin. pok.'!G$129*100</f>
        <v>3.714515804308436</v>
      </c>
      <c r="H200" s="870">
        <f>+'Analiza fin. pok.'!H200/'Analiza fin. pok.'!H$129*100</f>
        <v>0.09755145839430299</v>
      </c>
    </row>
    <row r="201" spans="1:8" ht="12.75">
      <c r="A201" s="866">
        <v>682</v>
      </c>
      <c r="B201" s="838" t="s">
        <v>1033</v>
      </c>
      <c r="C201" s="868">
        <f t="shared" si="2"/>
        <v>273</v>
      </c>
      <c r="D201" s="870">
        <f>+'Analiza fin. pok.'!D201/'Analiza fin. pok.'!D$129*100</f>
        <v>0</v>
      </c>
      <c r="E201" s="870">
        <f>+'Analiza fin. pok.'!E201/'Analiza fin. pok.'!E$129*100</f>
        <v>0</v>
      </c>
      <c r="F201" s="870">
        <f>+'Analiza fin. pok.'!F201/'Analiza fin. pok.'!F$129*100</f>
        <v>0</v>
      </c>
      <c r="G201" s="870">
        <f>+'Analiza fin. pok.'!G201/'Analiza fin. pok.'!G$129*100</f>
        <v>0</v>
      </c>
      <c r="H201" s="870">
        <f>+'Analiza fin. pok.'!H201/'Analiza fin. pok.'!H$129*100</f>
        <v>0</v>
      </c>
    </row>
    <row r="202" spans="1:8" ht="12.75">
      <c r="A202" s="866"/>
      <c r="B202" s="838" t="s">
        <v>1034</v>
      </c>
      <c r="C202" s="868">
        <f t="shared" si="2"/>
        <v>274</v>
      </c>
      <c r="D202" s="870">
        <f>+'Analiza fin. pok.'!D202/'Analiza fin. pok.'!D$129*100</f>
        <v>0</v>
      </c>
      <c r="E202" s="870">
        <f>+'Analiza fin. pok.'!E202/'Analiza fin. pok.'!E$129*100</f>
        <v>0</v>
      </c>
      <c r="F202" s="870">
        <f>+'Analiza fin. pok.'!F202/'Analiza fin. pok.'!F$129*100</f>
        <v>81.07066210953025</v>
      </c>
      <c r="G202" s="870">
        <f>+'Analiza fin. pok.'!G202/'Analiza fin. pok.'!G$129*100</f>
        <v>69.66982081739481</v>
      </c>
      <c r="H202" s="870">
        <f>+'Analiza fin. pok.'!H202/'Analiza fin. pok.'!H$129*100</f>
        <v>55.20437030533607</v>
      </c>
    </row>
    <row r="203" spans="1:8" ht="12.75">
      <c r="A203" s="866">
        <v>580</v>
      </c>
      <c r="B203" s="838" t="s">
        <v>1035</v>
      </c>
      <c r="C203" s="868">
        <f t="shared" si="2"/>
        <v>275</v>
      </c>
      <c r="D203" s="870">
        <f>+'Analiza fin. pok.'!D203/'Analiza fin. pok.'!D$129*100</f>
        <v>0</v>
      </c>
      <c r="E203" s="870">
        <f>+'Analiza fin. pok.'!E203/'Analiza fin. pok.'!E$129*100</f>
        <v>0</v>
      </c>
      <c r="F203" s="870">
        <f>+'Analiza fin. pok.'!F203/'Analiza fin. pok.'!F$129*100</f>
        <v>81.07066210953025</v>
      </c>
      <c r="G203" s="870">
        <f>+'Analiza fin. pok.'!G203/'Analiza fin. pok.'!G$129*100</f>
        <v>69.66982081739481</v>
      </c>
      <c r="H203" s="870">
        <f>+'Analiza fin. pok.'!H203/'Analiza fin. pok.'!H$129*100</f>
        <v>55.20437030533607</v>
      </c>
    </row>
    <row r="204" spans="1:8" ht="12.75">
      <c r="A204" s="866">
        <v>581</v>
      </c>
      <c r="B204" s="838" t="s">
        <v>1036</v>
      </c>
      <c r="C204" s="868">
        <f t="shared" si="2"/>
        <v>276</v>
      </c>
      <c r="D204" s="870">
        <f>+'Analiza fin. pok.'!D204/'Analiza fin. pok.'!D$129*100</f>
        <v>0</v>
      </c>
      <c r="E204" s="870">
        <f>+'Analiza fin. pok.'!E204/'Analiza fin. pok.'!E$129*100</f>
        <v>0</v>
      </c>
      <c r="F204" s="870">
        <f>+'Analiza fin. pok.'!F204/'Analiza fin. pok.'!F$129*100</f>
        <v>0</v>
      </c>
      <c r="G204" s="870">
        <f>+'Analiza fin. pok.'!G204/'Analiza fin. pok.'!G$129*100</f>
        <v>0</v>
      </c>
      <c r="H204" s="870">
        <f>+'Analiza fin. pok.'!H204/'Analiza fin. pok.'!H$129*100</f>
        <v>0</v>
      </c>
    </row>
    <row r="205" spans="1:8" ht="12.75">
      <c r="A205" s="866">
        <v>582</v>
      </c>
      <c r="B205" s="838" t="s">
        <v>1037</v>
      </c>
      <c r="C205" s="868">
        <f t="shared" si="2"/>
        <v>277</v>
      </c>
      <c r="D205" s="870">
        <f>+'Analiza fin. pok.'!D205/'Analiza fin. pok.'!D$129*100</f>
        <v>0</v>
      </c>
      <c r="E205" s="870">
        <f>+'Analiza fin. pok.'!E205/'Analiza fin. pok.'!E$129*100</f>
        <v>0</v>
      </c>
      <c r="F205" s="870">
        <f>+'Analiza fin. pok.'!F205/'Analiza fin. pok.'!F$129*100</f>
        <v>0</v>
      </c>
      <c r="G205" s="870">
        <f>+'Analiza fin. pok.'!G205/'Analiza fin. pok.'!G$129*100</f>
        <v>0</v>
      </c>
      <c r="H205" s="870">
        <f>+'Analiza fin. pok.'!H205/'Analiza fin. pok.'!H$129*100</f>
        <v>0</v>
      </c>
    </row>
    <row r="206" spans="1:8" ht="12.75">
      <c r="A206" s="866">
        <v>519</v>
      </c>
      <c r="B206" s="838" t="s">
        <v>1038</v>
      </c>
      <c r="C206" s="868">
        <f t="shared" si="2"/>
        <v>278</v>
      </c>
      <c r="D206" s="870">
        <f>+'Analiza fin. pok.'!D206/'Analiza fin. pok.'!D$129*100</f>
        <v>0</v>
      </c>
      <c r="E206" s="870">
        <f>+'Analiza fin. pok.'!E206/'Analiza fin. pok.'!E$129*100</f>
        <v>0</v>
      </c>
      <c r="F206" s="870">
        <f>+'Analiza fin. pok.'!F206/'Analiza fin. pok.'!F$129*100</f>
        <v>0</v>
      </c>
      <c r="G206" s="870">
        <f>+'Analiza fin. pok.'!G206/'Analiza fin. pok.'!G$129*100</f>
        <v>0</v>
      </c>
      <c r="H206" s="870">
        <f>+'Analiza fin. pok.'!H206/'Analiza fin. pok.'!H$129*100</f>
        <v>0</v>
      </c>
    </row>
    <row r="207" spans="1:8" ht="12.75">
      <c r="A207" s="866"/>
      <c r="B207" s="838" t="s">
        <v>1039</v>
      </c>
      <c r="C207" s="868">
        <f t="shared" si="2"/>
        <v>279</v>
      </c>
      <c r="D207" s="870">
        <f>+'Analiza fin. pok.'!D207/'Analiza fin. pok.'!D$129*100</f>
        <v>0</v>
      </c>
      <c r="E207" s="870">
        <f>+'Analiza fin. pok.'!E207/'Analiza fin. pok.'!E$129*100</f>
        <v>0</v>
      </c>
      <c r="F207" s="870">
        <f>+'Analiza fin. pok.'!F207/'Analiza fin. pok.'!F$129*100</f>
        <v>14.275494793736588</v>
      </c>
      <c r="G207" s="870">
        <f>+'Analiza fin. pok.'!G207/'Analiza fin. pok.'!G$129*100</f>
        <v>17.93839339641635</v>
      </c>
      <c r="H207" s="870">
        <f>+'Analiza fin. pok.'!H207/'Analiza fin. pok.'!H$129*100</f>
        <v>16.369134718564045</v>
      </c>
    </row>
    <row r="208" spans="1:8" ht="25.5">
      <c r="A208" s="866"/>
      <c r="B208" s="869" t="s">
        <v>628</v>
      </c>
      <c r="C208" s="868">
        <f t="shared" si="2"/>
        <v>280</v>
      </c>
      <c r="D208" s="870">
        <f>+'Analiza fin. pok.'!D208/'Analiza fin. pok.'!D$129*100</f>
        <v>2.5947031854481803</v>
      </c>
      <c r="E208" s="870">
        <f>+'Analiza fin. pok.'!E208/'Analiza fin. pok.'!E$129*100</f>
        <v>0</v>
      </c>
      <c r="F208" s="870">
        <f>+'Analiza fin. pok.'!F208/'Analiza fin. pok.'!F$129*100</f>
        <v>1.7923853429775058</v>
      </c>
      <c r="G208" s="870">
        <f>+'Analiza fin. pok.'!G208/'Analiza fin. pok.'!G$129*100</f>
        <v>0.22146164686933761</v>
      </c>
      <c r="H208" s="870">
        <f>+'Analiza fin. pok.'!H208/'Analiza fin. pok.'!H$129*100</f>
        <v>0.5560433128475271</v>
      </c>
    </row>
    <row r="209" spans="1:8" ht="12.75">
      <c r="A209" s="866"/>
      <c r="B209" s="838" t="s">
        <v>1040</v>
      </c>
      <c r="C209" s="868">
        <f t="shared" si="2"/>
        <v>281</v>
      </c>
      <c r="D209" s="870">
        <f>+'Analiza fin. pok.'!D209/'Analiza fin. pok.'!D$129*100</f>
        <v>1.9064952113852673</v>
      </c>
      <c r="E209" s="870">
        <f>+'Analiza fin. pok.'!E209/'Analiza fin. pok.'!E$129*100</f>
        <v>9.794687391253914</v>
      </c>
      <c r="F209" s="870">
        <f>+'Analiza fin. pok.'!F209/'Analiza fin. pok.'!F$129*100</f>
        <v>14.386773706382641</v>
      </c>
      <c r="G209" s="870">
        <f>+'Analiza fin. pok.'!G209/'Analiza fin. pok.'!G$129*100</f>
        <v>27.702838735655327</v>
      </c>
      <c r="H209" s="870">
        <f>+'Analiza fin. pok.'!H209/'Analiza fin. pok.'!H$129*100</f>
        <v>17.725099990244857</v>
      </c>
    </row>
    <row r="210" spans="1:8" ht="25.5">
      <c r="A210" s="866"/>
      <c r="B210" s="869" t="s">
        <v>629</v>
      </c>
      <c r="C210" s="868">
        <f t="shared" si="2"/>
        <v>282</v>
      </c>
      <c r="D210" s="870">
        <f>+'Analiza fin. pok.'!D210/'Analiza fin. pok.'!D$129*100</f>
        <v>0.6882079740629133</v>
      </c>
      <c r="E210" s="870">
        <f>+'Analiza fin. pok.'!E210/'Analiza fin. pok.'!E$129*100</f>
        <v>0</v>
      </c>
      <c r="F210" s="870">
        <f>+'Analiza fin. pok.'!F210/'Analiza fin. pok.'!F$129*100</f>
        <v>0</v>
      </c>
      <c r="G210" s="870">
        <f>+'Analiza fin. pok.'!G210/'Analiza fin. pok.'!G$129*100</f>
        <v>0</v>
      </c>
      <c r="H210" s="870">
        <f>+'Analiza fin. pok.'!H210/'Analiza fin. pok.'!H$129*100</f>
        <v>0</v>
      </c>
    </row>
    <row r="211" spans="1:8" ht="12.75">
      <c r="A211" s="866"/>
      <c r="B211" s="838" t="s">
        <v>1041</v>
      </c>
      <c r="C211" s="868">
        <f t="shared" si="2"/>
        <v>283</v>
      </c>
      <c r="D211" s="870">
        <f>+'Analiza fin. pok.'!D211/'Analiza fin. pok.'!D$129*100</f>
        <v>0</v>
      </c>
      <c r="E211" s="870">
        <f>+'Analiza fin. pok.'!E211/'Analiza fin. pok.'!E$129*100</f>
        <v>9.794687391253914</v>
      </c>
      <c r="F211" s="870">
        <f>+'Analiza fin. pok.'!F211/'Analiza fin. pok.'!F$129*100</f>
        <v>12.594388363405134</v>
      </c>
      <c r="G211" s="870">
        <f>+'Analiza fin. pok.'!G211/'Analiza fin. pok.'!G$129*100</f>
        <v>27.481377088785987</v>
      </c>
      <c r="H211" s="870">
        <f>+'Analiza fin. pok.'!H211/'Analiza fin. pok.'!H$129*100</f>
        <v>17.169056677397325</v>
      </c>
    </row>
    <row r="212" spans="1:8" ht="12.75">
      <c r="A212" s="866">
        <v>721</v>
      </c>
      <c r="B212" s="838" t="s">
        <v>1042</v>
      </c>
      <c r="C212" s="868">
        <f t="shared" si="2"/>
        <v>284</v>
      </c>
      <c r="D212" s="870">
        <f>+'Analiza fin. pok.'!D212/'Analiza fin. pok.'!D$129*100</f>
        <v>0</v>
      </c>
      <c r="E212" s="870">
        <f>+'Analiza fin. pok.'!E212/'Analiza fin. pok.'!E$129*100</f>
        <v>0</v>
      </c>
      <c r="F212" s="870">
        <f>+'Analiza fin. pok.'!F212/'Analiza fin. pok.'!F$129*100</f>
        <v>0</v>
      </c>
      <c r="G212" s="870">
        <f>+'Analiza fin. pok.'!G212/'Analiza fin. pok.'!G$129*100</f>
        <v>0</v>
      </c>
      <c r="H212" s="870">
        <f>+'Analiza fin. pok.'!H212/'Analiza fin. pok.'!H$129*100</f>
        <v>0</v>
      </c>
    </row>
    <row r="213" spans="1:8" ht="25.5">
      <c r="A213" s="866"/>
      <c r="B213" s="869" t="s">
        <v>630</v>
      </c>
      <c r="C213" s="868">
        <f t="shared" si="2"/>
        <v>285</v>
      </c>
      <c r="D213" s="870">
        <f>+'Analiza fin. pok.'!D213/'Analiza fin. pok.'!D$129*100</f>
        <v>0.6882079740629133</v>
      </c>
      <c r="E213" s="870">
        <f>+'Analiza fin. pok.'!E213/'Analiza fin. pok.'!E$129*100</f>
        <v>0</v>
      </c>
      <c r="F213" s="870">
        <f>+'Analiza fin. pok.'!F213/'Analiza fin. pok.'!F$129*100</f>
        <v>0</v>
      </c>
      <c r="G213" s="870">
        <f>+'Analiza fin. pok.'!G213/'Analiza fin. pok.'!G$129*100</f>
        <v>0</v>
      </c>
      <c r="H213" s="870">
        <f>+'Analiza fin. pok.'!H213/'Analiza fin. pok.'!H$129*100</f>
        <v>0</v>
      </c>
    </row>
    <row r="214" spans="1:8" ht="12.75">
      <c r="A214" s="866"/>
      <c r="B214" s="838" t="s">
        <v>1043</v>
      </c>
      <c r="C214" s="868">
        <f t="shared" si="2"/>
        <v>286</v>
      </c>
      <c r="D214" s="870">
        <f>+'Analiza fin. pok.'!D214/'Analiza fin. pok.'!D$129*100</f>
        <v>0</v>
      </c>
      <c r="E214" s="870">
        <f>+'Analiza fin. pok.'!E214/'Analiza fin. pok.'!E$129*100</f>
        <v>9.794687391253914</v>
      </c>
      <c r="F214" s="870">
        <f>+'Analiza fin. pok.'!F214/'Analiza fin. pok.'!F$129*100</f>
        <v>12.594388363405134</v>
      </c>
      <c r="G214" s="870">
        <f>+'Analiza fin. pok.'!G214/'Analiza fin. pok.'!G$129*100</f>
        <v>27.481377088785987</v>
      </c>
      <c r="H214" s="870">
        <f>+'Analiza fin. pok.'!H214/'Analiza fin. pok.'!H$129*100</f>
        <v>17.169056677397325</v>
      </c>
    </row>
    <row r="215" spans="1:8" ht="12.75">
      <c r="A215" s="866"/>
      <c r="B215" s="838" t="s">
        <v>1044</v>
      </c>
      <c r="C215" s="868">
        <f t="shared" si="2"/>
        <v>287</v>
      </c>
      <c r="D215" s="870">
        <f>+'Analiza fin. pok.'!D215/'Analiza fin. pok.'!D$129*100</f>
        <v>0</v>
      </c>
      <c r="E215" s="870">
        <f>+'Analiza fin. pok.'!E215/'Analiza fin. pok.'!E$129*100</f>
        <v>0</v>
      </c>
      <c r="F215" s="870">
        <f>+'Analiza fin. pok.'!F215/'Analiza fin. pok.'!F$129*100</f>
        <v>0</v>
      </c>
      <c r="G215" s="870">
        <f>+'Analiza fin. pok.'!G215/'Analiza fin. pok.'!G$129*100</f>
        <v>0</v>
      </c>
      <c r="H215" s="870">
        <f>+'Analiza fin. pok.'!H215/'Analiza fin. pok.'!H$129*100</f>
        <v>0</v>
      </c>
    </row>
    <row r="216" spans="1:8" ht="12.75">
      <c r="A216" s="866"/>
      <c r="B216" s="869" t="s">
        <v>1045</v>
      </c>
      <c r="C216" s="868">
        <f t="shared" si="2"/>
        <v>288</v>
      </c>
      <c r="D216" s="870">
        <f>+'Analiza fin. pok.'!D216/'Analiza fin. pok.'!D$129*100</f>
        <v>100.36299987071237</v>
      </c>
      <c r="E216" s="870">
        <f>+'Analiza fin. pok.'!E216/'Analiza fin. pok.'!E$129*100</f>
        <v>102.81637861037002</v>
      </c>
      <c r="F216" s="870">
        <f>+'Analiza fin. pok.'!F216/'Analiza fin. pok.'!F$129*100</f>
        <v>167.60193943247754</v>
      </c>
      <c r="G216" s="870">
        <f>+'Analiza fin. pok.'!G216/'Analiza fin. pok.'!G$129*100</f>
        <v>152.30521441513994</v>
      </c>
      <c r="H216" s="870">
        <f>+'Analiza fin. pok.'!H216/'Analiza fin. pok.'!H$129*100</f>
        <v>139.72295385816017</v>
      </c>
    </row>
    <row r="217" spans="1:8" ht="12.75">
      <c r="A217" s="866"/>
      <c r="B217" s="871" t="s">
        <v>1046</v>
      </c>
      <c r="C217" s="868">
        <f t="shared" si="2"/>
        <v>289</v>
      </c>
      <c r="D217" s="870">
        <f>+'Analiza fin. pok.'!D217/'Analiza fin. pok.'!D$129*100</f>
        <v>99.67479189664947</v>
      </c>
      <c r="E217" s="870">
        <f>+'Analiza fin. pok.'!E217/'Analiza fin. pok.'!E$129*100</f>
        <v>112.61106600162394</v>
      </c>
      <c r="F217" s="870">
        <f>+'Analiza fin. pok.'!F217/'Analiza fin. pok.'!F$129*100</f>
        <v>180.1963277958827</v>
      </c>
      <c r="G217" s="870">
        <f>+'Analiza fin. pok.'!G217/'Analiza fin. pok.'!G$129*100</f>
        <v>179.7865915039259</v>
      </c>
      <c r="H217" s="870">
        <f>+'Analiza fin. pok.'!H217/'Analiza fin. pok.'!H$129*100</f>
        <v>156.8920105355575</v>
      </c>
    </row>
    <row r="218" spans="1:8" ht="12.75">
      <c r="A218" s="875"/>
      <c r="B218" s="852"/>
      <c r="C218" s="852"/>
      <c r="D218" s="852"/>
      <c r="E218" s="852"/>
      <c r="F218" s="852"/>
      <c r="G218" s="852"/>
      <c r="H218" s="852"/>
    </row>
    <row r="219" spans="1:8" ht="12.75">
      <c r="A219" s="875"/>
      <c r="B219" s="852"/>
      <c r="C219" s="852"/>
      <c r="D219" s="852"/>
      <c r="E219" s="852"/>
      <c r="F219" s="852"/>
      <c r="G219" s="852"/>
      <c r="H219" s="852"/>
    </row>
    <row r="220" spans="1:8" ht="12.75">
      <c r="A220" s="875"/>
      <c r="B220" s="852"/>
      <c r="C220" s="852"/>
      <c r="D220" s="852"/>
      <c r="E220" s="852"/>
      <c r="F220" s="852"/>
      <c r="G220" s="852"/>
      <c r="H220" s="852"/>
    </row>
    <row r="221" spans="1:8" ht="15">
      <c r="A221" s="832" t="s">
        <v>631</v>
      </c>
      <c r="B221" s="831" t="s">
        <v>802</v>
      </c>
      <c r="C221" s="832"/>
      <c r="D221" s="832"/>
      <c r="E221" s="859"/>
      <c r="F221" s="832"/>
      <c r="G221" s="832"/>
      <c r="H221" s="832"/>
    </row>
    <row r="222" spans="1:8" ht="12.75">
      <c r="A222" s="832"/>
      <c r="B222" s="832"/>
      <c r="C222" s="832"/>
      <c r="D222" s="832" t="str">
        <f>+B3</f>
        <v>U 000 din</v>
      </c>
      <c r="E222" s="859"/>
      <c r="F222" s="832"/>
      <c r="G222" s="832"/>
      <c r="H222" s="832"/>
    </row>
    <row r="223" spans="1:8" ht="12.75">
      <c r="A223" s="838" t="s">
        <v>633</v>
      </c>
      <c r="B223" s="838" t="s">
        <v>1441</v>
      </c>
      <c r="C223" s="838"/>
      <c r="D223" s="838"/>
      <c r="E223" s="876"/>
      <c r="F223" s="876"/>
      <c r="G223" s="876"/>
      <c r="H223" s="832"/>
    </row>
    <row r="224" spans="1:8" ht="12.75">
      <c r="A224" s="838" t="s">
        <v>634</v>
      </c>
      <c r="B224" s="838"/>
      <c r="C224" s="838">
        <f>+$D$6</f>
        <v>2002</v>
      </c>
      <c r="D224" s="838">
        <f>+$E$6</f>
        <v>2001</v>
      </c>
      <c r="E224" s="838">
        <f>+$F$6</f>
        <v>2000</v>
      </c>
      <c r="F224" s="838">
        <f>+E224-1</f>
        <v>1999</v>
      </c>
      <c r="G224" s="838">
        <f>+F224-1</f>
        <v>1998</v>
      </c>
      <c r="H224" s="832"/>
    </row>
    <row r="225" spans="1:8" ht="12.75">
      <c r="A225" s="838">
        <v>1</v>
      </c>
      <c r="B225" s="838">
        <f aca="true" t="shared" si="3" ref="B225:G225">A225+1</f>
        <v>2</v>
      </c>
      <c r="C225" s="838">
        <f t="shared" si="3"/>
        <v>3</v>
      </c>
      <c r="D225" s="838">
        <f t="shared" si="3"/>
        <v>4</v>
      </c>
      <c r="E225" s="838">
        <f t="shared" si="3"/>
        <v>5</v>
      </c>
      <c r="F225" s="838">
        <f t="shared" si="3"/>
        <v>6</v>
      </c>
      <c r="G225" s="838">
        <f t="shared" si="3"/>
        <v>7</v>
      </c>
      <c r="H225" s="832"/>
    </row>
    <row r="226" spans="1:8" ht="12.75">
      <c r="A226" s="838">
        <v>1</v>
      </c>
      <c r="B226" s="838" t="s">
        <v>635</v>
      </c>
      <c r="C226" s="842">
        <f>+'Analiza fin. pok.'!C226/'Analiza fin. pok.'!C$226*100</f>
        <v>100</v>
      </c>
      <c r="D226" s="842">
        <f>+'Analiza fin. pok.'!D226/'Analiza fin. pok.'!D$226*100</f>
        <v>100</v>
      </c>
      <c r="E226" s="842">
        <f>+'Analiza fin. pok.'!E226/'Analiza fin. pok.'!E$226*100</f>
        <v>100</v>
      </c>
      <c r="F226" s="842">
        <f>+'Analiza fin. pok.'!F226/'Analiza fin. pok.'!F$226*100</f>
        <v>100</v>
      </c>
      <c r="G226" s="842">
        <f>+'Analiza fin. pok.'!G226/'Analiza fin. pok.'!G$226*100</f>
        <v>100</v>
      </c>
      <c r="H226" s="832"/>
    </row>
    <row r="227" spans="1:8" ht="12.75">
      <c r="A227" s="838">
        <f>+A226+1</f>
        <v>2</v>
      </c>
      <c r="B227" s="838" t="s">
        <v>636</v>
      </c>
      <c r="C227" s="842">
        <f>+'Analiza fin. pok.'!C227/'Analiza fin. pok.'!C$226*100</f>
        <v>0.1740410339031934</v>
      </c>
      <c r="D227" s="842">
        <f>+'Analiza fin. pok.'!D227/'Analiza fin. pok.'!D$226*100</f>
        <v>2.5240691335111936</v>
      </c>
      <c r="E227" s="842">
        <f>+'Analiza fin. pok.'!E227/'Analiza fin. pok.'!E$226*100</f>
        <v>0.05961370320324298</v>
      </c>
      <c r="F227" s="842">
        <f>+'Analiza fin. pok.'!F227/'Analiza fin. pok.'!F$226*100</f>
        <v>0.4227904167505537</v>
      </c>
      <c r="G227" s="842">
        <f>+'Analiza fin. pok.'!G227/'Analiza fin. pok.'!G$226*100</f>
        <v>0.23412350014632718</v>
      </c>
      <c r="H227" s="832"/>
    </row>
    <row r="228" spans="1:8" ht="12.75">
      <c r="A228" s="838">
        <f aca="true" t="shared" si="4" ref="A228:A240">+A227+1</f>
        <v>3</v>
      </c>
      <c r="B228" s="838" t="s">
        <v>637</v>
      </c>
      <c r="C228" s="842">
        <f>+'Analiza fin. pok.'!C228/'Analiza fin. pok.'!C$226*100</f>
        <v>0.1889588368091814</v>
      </c>
      <c r="D228" s="842">
        <f>+'Analiza fin. pok.'!D228/'Analiza fin. pok.'!D$226*100</f>
        <v>0.2923094768588331</v>
      </c>
      <c r="E228" s="842">
        <f>+'Analiza fin. pok.'!E228/'Analiza fin. pok.'!E$226*100</f>
        <v>0.7471584134806454</v>
      </c>
      <c r="F228" s="842">
        <f>+'Analiza fin. pok.'!F228/'Analiza fin. pok.'!F$226*100</f>
        <v>0.15099657741091202</v>
      </c>
      <c r="G228" s="842">
        <f>+'Analiza fin. pok.'!G228/'Analiza fin. pok.'!G$226*100</f>
        <v>0.6535947712418301</v>
      </c>
      <c r="H228" s="832"/>
    </row>
    <row r="229" spans="1:8" ht="12.75">
      <c r="A229" s="838">
        <f t="shared" si="4"/>
        <v>4</v>
      </c>
      <c r="B229" s="838" t="s">
        <v>638</v>
      </c>
      <c r="C229" s="842">
        <f>+'Analiza fin. pok.'!C229/'Analiza fin. pok.'!C$226*100</f>
        <v>0</v>
      </c>
      <c r="D229" s="842">
        <f>+'Analiza fin. pok.'!D229/'Analiza fin. pok.'!D$226*100</f>
        <v>0</v>
      </c>
      <c r="E229" s="842">
        <f>+'Analiza fin. pok.'!E229/'Analiza fin. pok.'!E$226*100</f>
        <v>66.79516731579366</v>
      </c>
      <c r="F229" s="842">
        <f>+'Analiza fin. pok.'!F229/'Analiza fin. pok.'!F$226*100</f>
        <v>51.73142742097846</v>
      </c>
      <c r="G229" s="842">
        <f>+'Analiza fin. pok.'!G229/'Analiza fin. pok.'!G$226*100</f>
        <v>38.83523558677202</v>
      </c>
      <c r="H229" s="832"/>
    </row>
    <row r="230" spans="1:8" ht="12.75">
      <c r="A230" s="838">
        <f t="shared" si="4"/>
        <v>5</v>
      </c>
      <c r="B230" s="838" t="s">
        <v>639</v>
      </c>
      <c r="C230" s="842">
        <f>+'Analiza fin. pok.'!C230/'Analiza fin. pok.'!C$226*100</f>
        <v>100.36299987071237</v>
      </c>
      <c r="D230" s="842">
        <f>+'Analiza fin. pok.'!D230/'Analiza fin. pok.'!D$226*100</f>
        <v>102.81637861037002</v>
      </c>
      <c r="E230" s="842">
        <f>+'Analiza fin. pok.'!E230/'Analiza fin. pok.'!E$226*100</f>
        <v>167.60193943247754</v>
      </c>
      <c r="F230" s="842">
        <f>+'Analiza fin. pok.'!F230/'Analiza fin. pok.'!F$226*100</f>
        <v>152.30521441513994</v>
      </c>
      <c r="G230" s="842">
        <f>+'Analiza fin. pok.'!G230/'Analiza fin. pok.'!G$226*100</f>
        <v>139.72295385816017</v>
      </c>
      <c r="H230" s="832"/>
    </row>
    <row r="231" spans="1:8" ht="12.75">
      <c r="A231" s="838">
        <f t="shared" si="4"/>
        <v>6</v>
      </c>
      <c r="B231" s="838" t="s">
        <v>640</v>
      </c>
      <c r="C231" s="842">
        <f>+'Analiza fin. pok.'!C231/'Analiza fin. pok.'!C$226*100</f>
        <v>97.40529681455182</v>
      </c>
      <c r="D231" s="842">
        <f>+'Analiza fin. pok.'!D231/'Analiza fin. pok.'!D$226*100</f>
        <v>108.36329892123884</v>
      </c>
      <c r="E231" s="842">
        <f>+'Analiza fin. pok.'!E231/'Analiza fin. pok.'!E$226*100</f>
        <v>98.95477307050314</v>
      </c>
      <c r="F231" s="842">
        <f>+'Analiza fin. pok.'!F231/'Analiza fin. pok.'!F$226*100</f>
        <v>109.75437890074491</v>
      </c>
      <c r="G231" s="842">
        <f>+'Analiza fin. pok.'!G231/'Analiza fin. pok.'!G$226*100</f>
        <v>100.65359477124183</v>
      </c>
      <c r="H231" s="832"/>
    </row>
    <row r="232" spans="1:8" ht="12.75">
      <c r="A232" s="838">
        <f t="shared" si="4"/>
        <v>7</v>
      </c>
      <c r="B232" s="838" t="s">
        <v>641</v>
      </c>
      <c r="C232" s="842">
        <f>+'Analiza fin. pok.'!C232/'Analiza fin. pok.'!C$226*100</f>
        <v>0.9994927947011965</v>
      </c>
      <c r="D232" s="842">
        <f>+'Analiza fin. pok.'!D232/'Analiza fin. pok.'!D$226*100</f>
        <v>3.860341027723002</v>
      </c>
      <c r="E232" s="842">
        <f>+'Analiza fin. pok.'!E232/'Analiza fin. pok.'!E$226*100</f>
        <v>0.17089261584929658</v>
      </c>
      <c r="F232" s="842">
        <f>+'Analiza fin. pok.'!F232/'Analiza fin. pok.'!F$226*100</f>
        <v>0.20132876988121604</v>
      </c>
      <c r="G232" s="842">
        <f>+'Analiza fin. pok.'!G232/'Analiza fin. pok.'!G$226*100</f>
        <v>0.9364940005853087</v>
      </c>
      <c r="H232" s="832"/>
    </row>
    <row r="233" spans="1:8" ht="12.75">
      <c r="A233" s="838">
        <f t="shared" si="4"/>
        <v>8</v>
      </c>
      <c r="B233" s="838" t="s">
        <v>642</v>
      </c>
      <c r="C233" s="842">
        <f>+'Analiza fin. pok.'!C233/'Analiza fin. pok.'!C$226*100</f>
        <v>1.2700022873964456</v>
      </c>
      <c r="D233" s="842">
        <f>+'Analiza fin. pok.'!D233/'Analiza fin. pok.'!D$226*100</f>
        <v>0.38742605266210417</v>
      </c>
      <c r="E233" s="842">
        <f>+'Analiza fin. pok.'!E233/'Analiza fin. pok.'!E$226*100</f>
        <v>0</v>
      </c>
      <c r="F233" s="842">
        <f>+'Analiza fin. pok.'!F233/'Analiza fin. pok.'!F$226*100</f>
        <v>0.16106301590497282</v>
      </c>
      <c r="G233" s="842">
        <f>+'Analiza fin. pok.'!G233/'Analiza fin. pok.'!G$226*100</f>
        <v>0.09755145839430299</v>
      </c>
      <c r="H233" s="832"/>
    </row>
    <row r="234" spans="1:8" ht="12.75">
      <c r="A234" s="838">
        <f t="shared" si="4"/>
        <v>9</v>
      </c>
      <c r="B234" s="838" t="s">
        <v>643</v>
      </c>
      <c r="C234" s="842">
        <f>+'Analiza fin. pok.'!C234/'Analiza fin. pok.'!C$226*100</f>
        <v>0</v>
      </c>
      <c r="D234" s="842">
        <f>+'Analiza fin. pok.'!D234/'Analiza fin. pok.'!D$226*100</f>
        <v>0</v>
      </c>
      <c r="E234" s="842">
        <f>+'Analiza fin. pok.'!E234/'Analiza fin. pok.'!E$226*100</f>
        <v>81.07066210953025</v>
      </c>
      <c r="F234" s="842">
        <f>+'Analiza fin. pok.'!F234/'Analiza fin. pok.'!F$226*100</f>
        <v>69.66982081739481</v>
      </c>
      <c r="G234" s="842">
        <f>+'Analiza fin. pok.'!G234/'Analiza fin. pok.'!G$226*100</f>
        <v>55.20437030533607</v>
      </c>
      <c r="H234" s="832"/>
    </row>
    <row r="235" spans="1:8" ht="12.75">
      <c r="A235" s="838">
        <f t="shared" si="4"/>
        <v>10</v>
      </c>
      <c r="B235" s="838" t="s">
        <v>644</v>
      </c>
      <c r="C235" s="842">
        <f>+'Analiza fin. pok.'!C235/'Analiza fin. pok.'!C$226*100</f>
        <v>99.67479189664947</v>
      </c>
      <c r="D235" s="842">
        <f>+'Analiza fin. pok.'!D235/'Analiza fin. pok.'!D$226*100</f>
        <v>112.61106600162394</v>
      </c>
      <c r="E235" s="842">
        <f>+'Analiza fin. pok.'!E235/'Analiza fin. pok.'!E$226*100</f>
        <v>180.1963277958827</v>
      </c>
      <c r="F235" s="842">
        <f>+'Analiza fin. pok.'!F235/'Analiza fin. pok.'!F$226*100</f>
        <v>179.7865915039259</v>
      </c>
      <c r="G235" s="842">
        <f>+'Analiza fin. pok.'!G235/'Analiza fin. pok.'!G$226*100</f>
        <v>156.8920105355575</v>
      </c>
      <c r="H235" s="832"/>
    </row>
    <row r="236" spans="1:8" ht="12.75">
      <c r="A236" s="838">
        <f t="shared" si="4"/>
        <v>11</v>
      </c>
      <c r="B236" s="838" t="s">
        <v>645</v>
      </c>
      <c r="C236" s="842">
        <f>+'Analiza fin. pok.'!C236/'Analiza fin. pok.'!C$226*100</f>
        <v>2.5947031854481803</v>
      </c>
      <c r="D236" s="842">
        <f>+'Analiza fin. pok.'!D236/'Analiza fin. pok.'!D$226*100</f>
        <v>-8.363298921238835</v>
      </c>
      <c r="E236" s="842">
        <f>+'Analiza fin. pok.'!E236/'Analiza fin. pok.'!E$226*100</f>
        <v>1.0452269294968604</v>
      </c>
      <c r="F236" s="842">
        <f>+'Analiza fin. pok.'!F236/'Analiza fin. pok.'!F$226*100</f>
        <v>-9.754378900744916</v>
      </c>
      <c r="G236" s="842">
        <f>+'Analiza fin. pok.'!G236/'Analiza fin. pok.'!G$226*100</f>
        <v>-0.6535947712418301</v>
      </c>
      <c r="H236" s="832"/>
    </row>
    <row r="237" spans="1:8" ht="12.75">
      <c r="A237" s="838">
        <f t="shared" si="4"/>
        <v>12</v>
      </c>
      <c r="B237" s="838" t="s">
        <v>646</v>
      </c>
      <c r="C237" s="842">
        <f>+'Analiza fin. pok.'!C237/'Analiza fin. pok.'!C$226*100</f>
        <v>-0.825451760798003</v>
      </c>
      <c r="D237" s="842">
        <f>+'Analiza fin. pok.'!D237/'Analiza fin. pok.'!D$226*100</f>
        <v>-1.3362718942118084</v>
      </c>
      <c r="E237" s="842">
        <f>+'Analiza fin. pok.'!E237/'Analiza fin. pok.'!E$226*100</f>
        <v>-0.11127891264605357</v>
      </c>
      <c r="F237" s="842">
        <f>+'Analiza fin. pok.'!F237/'Analiza fin. pok.'!F$226*100</f>
        <v>0.22146164686933761</v>
      </c>
      <c r="G237" s="842">
        <f>+'Analiza fin. pok.'!G237/'Analiza fin. pok.'!G$226*100</f>
        <v>-0.7023705004389815</v>
      </c>
      <c r="H237" s="832"/>
    </row>
    <row r="238" spans="1:8" ht="12.75">
      <c r="A238" s="838">
        <f t="shared" si="4"/>
        <v>13</v>
      </c>
      <c r="B238" s="838" t="s">
        <v>647</v>
      </c>
      <c r="C238" s="842">
        <f>+'Analiza fin. pok.'!C238/'Analiza fin. pok.'!C$226*100</f>
        <v>-1.0810434505872641</v>
      </c>
      <c r="D238" s="842">
        <f>+'Analiza fin. pok.'!D238/'Analiza fin. pok.'!D$226*100</f>
        <v>-0.09511657580327108</v>
      </c>
      <c r="E238" s="842">
        <f>+'Analiza fin. pok.'!E238/'Analiza fin. pok.'!E$226*100</f>
        <v>0.7471584134806454</v>
      </c>
      <c r="F238" s="842">
        <f>+'Analiza fin. pok.'!F238/'Analiza fin. pok.'!F$226*100</f>
        <v>-0.010066438494060801</v>
      </c>
      <c r="G238" s="842">
        <f>+'Analiza fin. pok.'!G238/'Analiza fin. pok.'!G$226*100</f>
        <v>0.5560433128475271</v>
      </c>
      <c r="H238" s="832"/>
    </row>
    <row r="239" spans="1:8" ht="12.75">
      <c r="A239" s="838">
        <f t="shared" si="4"/>
        <v>14</v>
      </c>
      <c r="B239" s="838" t="s">
        <v>648</v>
      </c>
      <c r="C239" s="842">
        <f>+'Analiza fin. pok.'!C239/'Analiza fin. pok.'!C$226*100</f>
        <v>0</v>
      </c>
      <c r="D239" s="842">
        <f>+'Analiza fin. pok.'!D239/'Analiza fin. pok.'!D$226*100</f>
        <v>0</v>
      </c>
      <c r="E239" s="842">
        <f>+'Analiza fin. pok.'!E239/'Analiza fin. pok.'!E$226*100</f>
        <v>-14.275494793736588</v>
      </c>
      <c r="F239" s="842">
        <f>+'Analiza fin. pok.'!F239/'Analiza fin. pok.'!F$226*100</f>
        <v>-17.93839339641635</v>
      </c>
      <c r="G239" s="842">
        <f>+'Analiza fin. pok.'!G239/'Analiza fin. pok.'!G$226*100</f>
        <v>-16.369134718564045</v>
      </c>
      <c r="H239" s="832"/>
    </row>
    <row r="240" spans="1:8" ht="12.75">
      <c r="A240" s="838">
        <f t="shared" si="4"/>
        <v>15</v>
      </c>
      <c r="B240" s="838" t="s">
        <v>649</v>
      </c>
      <c r="C240" s="842">
        <f>+'Analiza fin. pok.'!C240/'Analiza fin. pok.'!C$226*100</f>
        <v>0.6882079740629133</v>
      </c>
      <c r="D240" s="842">
        <f>+'Analiza fin. pok.'!D240/'Analiza fin. pok.'!D$226*100</f>
        <v>-9.794687391253914</v>
      </c>
      <c r="E240" s="842">
        <f>+'Analiza fin. pok.'!E240/'Analiza fin. pok.'!E$226*100</f>
        <v>-12.594388363405134</v>
      </c>
      <c r="F240" s="842">
        <f>+'Analiza fin. pok.'!F240/'Analiza fin. pok.'!F$226*100</f>
        <v>-27.481377088785987</v>
      </c>
      <c r="G240" s="842">
        <f>+'Analiza fin. pok.'!G240/'Analiza fin. pok.'!G$226*100</f>
        <v>-17.169056677397325</v>
      </c>
      <c r="H240" s="832"/>
    </row>
    <row r="241" spans="1:8" ht="12.75">
      <c r="A241" s="832"/>
      <c r="B241" s="832"/>
      <c r="C241" s="832"/>
      <c r="D241" s="832"/>
      <c r="E241" s="859"/>
      <c r="F241" s="859"/>
      <c r="G241" s="859"/>
      <c r="H241" s="832"/>
    </row>
    <row r="242" spans="1:8" ht="12.75">
      <c r="A242" s="832"/>
      <c r="B242" s="832"/>
      <c r="C242" s="832"/>
      <c r="D242" s="832"/>
      <c r="E242" s="832"/>
      <c r="F242" s="832"/>
      <c r="G242" s="832"/>
      <c r="H242" s="832"/>
    </row>
    <row r="243" spans="1:8" ht="12.75">
      <c r="A243" s="832"/>
      <c r="B243" s="832"/>
      <c r="C243" s="832"/>
      <c r="D243" s="832"/>
      <c r="E243" s="832"/>
      <c r="F243" s="832"/>
      <c r="G243" s="832"/>
      <c r="H243" s="832"/>
    </row>
    <row r="244" spans="1:8" ht="12.75">
      <c r="A244" s="832"/>
      <c r="B244" s="832" t="s">
        <v>802</v>
      </c>
      <c r="C244" s="832"/>
      <c r="D244" s="832"/>
      <c r="E244" s="832"/>
      <c r="F244" s="832"/>
      <c r="G244" s="832"/>
      <c r="H244" s="832"/>
    </row>
    <row r="245" spans="1:8" ht="15">
      <c r="A245" s="832" t="s">
        <v>650</v>
      </c>
      <c r="B245" s="831" t="s">
        <v>651</v>
      </c>
      <c r="C245" s="832"/>
      <c r="D245" s="832"/>
      <c r="E245" s="832"/>
      <c r="F245" s="832"/>
      <c r="G245" s="832"/>
      <c r="H245" s="832"/>
    </row>
    <row r="246" spans="1:8" ht="12.75">
      <c r="A246" s="832"/>
      <c r="B246" s="832"/>
      <c r="C246" s="832" t="str">
        <f>+B3</f>
        <v>U 000 din</v>
      </c>
      <c r="D246" s="832"/>
      <c r="E246" s="832"/>
      <c r="F246" s="832"/>
      <c r="G246" s="832"/>
      <c r="H246" s="832"/>
    </row>
    <row r="247" spans="1:8" ht="14.25">
      <c r="A247" s="838" t="s">
        <v>652</v>
      </c>
      <c r="B247" s="980" t="s">
        <v>1441</v>
      </c>
      <c r="C247" s="838"/>
      <c r="D247" s="838" t="s">
        <v>419</v>
      </c>
      <c r="E247" s="838"/>
      <c r="F247" s="838"/>
      <c r="G247" s="838"/>
      <c r="H247" s="832"/>
    </row>
    <row r="248" spans="1:8" ht="12.75">
      <c r="A248" s="838" t="s">
        <v>634</v>
      </c>
      <c r="B248" s="838"/>
      <c r="C248" s="838">
        <f>+$D$6</f>
        <v>2002</v>
      </c>
      <c r="D248" s="838">
        <f>+$E$6</f>
        <v>2001</v>
      </c>
      <c r="E248" s="838">
        <f>+$F$6</f>
        <v>2000</v>
      </c>
      <c r="F248" s="838">
        <f>+E248-1</f>
        <v>1999</v>
      </c>
      <c r="G248" s="838">
        <f>+F248-1</f>
        <v>1998</v>
      </c>
      <c r="H248" s="832"/>
    </row>
    <row r="249" spans="1:8" ht="12.75">
      <c r="A249" s="838">
        <v>1</v>
      </c>
      <c r="B249" s="838">
        <f aca="true" t="shared" si="5" ref="B249:G249">A249+1</f>
        <v>2</v>
      </c>
      <c r="C249" s="838">
        <f t="shared" si="5"/>
        <v>3</v>
      </c>
      <c r="D249" s="838">
        <f t="shared" si="5"/>
        <v>4</v>
      </c>
      <c r="E249" s="838">
        <f t="shared" si="5"/>
        <v>5</v>
      </c>
      <c r="F249" s="838">
        <f t="shared" si="5"/>
        <v>6</v>
      </c>
      <c r="G249" s="838">
        <f t="shared" si="5"/>
        <v>7</v>
      </c>
      <c r="H249" s="832"/>
    </row>
    <row r="250" spans="1:8" ht="12.75">
      <c r="A250" s="838">
        <v>1</v>
      </c>
      <c r="B250" s="838" t="s">
        <v>635</v>
      </c>
      <c r="C250" s="877">
        <f>+'Analiza fin. pok.'!C250/'Analiza fin. pok.'!C$250*100</f>
        <v>100</v>
      </c>
      <c r="D250" s="877">
        <f>+'Analiza fin. pok.'!D250/'Analiza fin. pok.'!D$250*100</f>
        <v>100</v>
      </c>
      <c r="E250" s="877">
        <f>+'Analiza fin. pok.'!E250/'Analiza fin. pok.'!E$250*100</f>
        <v>100</v>
      </c>
      <c r="F250" s="877">
        <f>+'Analiza fin. pok.'!F250/'Analiza fin. pok.'!F$250*100</f>
        <v>100</v>
      </c>
      <c r="G250" s="877">
        <f>+'Analiza fin. pok.'!G250/'Analiza fin. pok.'!G$250*100</f>
        <v>100</v>
      </c>
      <c r="H250" s="832"/>
    </row>
    <row r="251" spans="1:8" ht="12.75">
      <c r="A251" s="838">
        <v>2</v>
      </c>
      <c r="B251" s="838" t="s">
        <v>653</v>
      </c>
      <c r="C251" s="877">
        <f>+'Analiza fin. pok.'!C251/'Analiza fin. pok.'!C$250*100</f>
        <v>22.06740857873119</v>
      </c>
      <c r="D251" s="877">
        <f>+'Analiza fin. pok.'!D251/'Analiza fin. pok.'!D$250*100</f>
        <v>24.250086996868113</v>
      </c>
      <c r="E251" s="877">
        <f>+'Analiza fin. pok.'!E251/'Analiza fin. pok.'!E$250*100</f>
        <v>17.63770765439949</v>
      </c>
      <c r="F251" s="877">
        <f>+'Analiza fin. pok.'!F251/'Analiza fin. pok.'!F$250*100</f>
        <v>15.401650895913027</v>
      </c>
      <c r="G251" s="877">
        <f>+'Analiza fin. pok.'!G251/'Analiza fin. pok.'!G$250*100</f>
        <v>18.28114330309238</v>
      </c>
      <c r="H251" s="832"/>
    </row>
    <row r="252" spans="1:8" ht="12.75">
      <c r="A252" s="838">
        <v>3</v>
      </c>
      <c r="B252" s="838" t="s">
        <v>654</v>
      </c>
      <c r="C252" s="877">
        <f>+'Analiza fin. pok.'!C252/'Analiza fin. pok.'!C$250*100</f>
        <v>77.93259142126881</v>
      </c>
      <c r="D252" s="877">
        <f>+'Analiza fin. pok.'!D252/'Analiza fin. pok.'!D$250*100</f>
        <v>75.74991300313188</v>
      </c>
      <c r="E252" s="877">
        <f>+'Analiza fin. pok.'!E252/'Analiza fin. pok.'!E$250*100</f>
        <v>82.36229234560051</v>
      </c>
      <c r="F252" s="877">
        <f>+'Analiza fin. pok.'!F252/'Analiza fin. pok.'!F$250*100</f>
        <v>84.59834910408698</v>
      </c>
      <c r="G252" s="877">
        <f>+'Analiza fin. pok.'!G252/'Analiza fin. pok.'!G$250*100</f>
        <v>81.71885669690762</v>
      </c>
      <c r="H252" s="832"/>
    </row>
    <row r="253" spans="1:8" ht="12.75">
      <c r="A253" s="838">
        <v>4</v>
      </c>
      <c r="B253" s="838" t="s">
        <v>655</v>
      </c>
      <c r="C253" s="877">
        <f>+'Analiza fin. pok.'!C253/'Analiza fin. pok.'!C$250*100</f>
        <v>75.33788823582063</v>
      </c>
      <c r="D253" s="877">
        <f>+'Analiza fin. pok.'!D253/'Analiza fin. pok.'!D$250*100</f>
        <v>84.11321192437072</v>
      </c>
      <c r="E253" s="877">
        <f>+'Analiza fin. pok.'!E253/'Analiza fin. pok.'!E$250*100</f>
        <v>81.31706541610365</v>
      </c>
      <c r="F253" s="877">
        <f>+'Analiza fin. pok.'!F253/'Analiza fin. pok.'!F$250*100</f>
        <v>94.35272800483189</v>
      </c>
      <c r="G253" s="877">
        <f>+'Analiza fin. pok.'!G253/'Analiza fin. pok.'!G$250*100</f>
        <v>82.37245146814945</v>
      </c>
      <c r="H253" s="832"/>
    </row>
    <row r="254" spans="1:8" ht="12.75">
      <c r="A254" s="838">
        <v>5</v>
      </c>
      <c r="B254" s="838" t="s">
        <v>656</v>
      </c>
      <c r="C254" s="877">
        <f>+'Analiza fin. pok.'!C254/'Analiza fin. pok.'!C$250*100</f>
        <v>2.5947031854481803</v>
      </c>
      <c r="D254" s="877">
        <f>+'Analiza fin. pok.'!D254/'Analiza fin. pok.'!D$250*100</f>
        <v>-8.363298921238835</v>
      </c>
      <c r="E254" s="877">
        <f>+'Analiza fin. pok.'!E254/'Analiza fin. pok.'!E$250*100</f>
        <v>1.0452269294968604</v>
      </c>
      <c r="F254" s="877">
        <f>+'Analiza fin. pok.'!F254/'Analiza fin. pok.'!F$250*100</f>
        <v>-9.754378900744916</v>
      </c>
      <c r="G254" s="877">
        <f>+'Analiza fin. pok.'!G254/'Analiza fin. pok.'!G$250*100</f>
        <v>-0.6535947712418301</v>
      </c>
      <c r="H254" s="832"/>
    </row>
    <row r="255" spans="1:8" ht="12.75">
      <c r="A255" s="838">
        <v>6</v>
      </c>
      <c r="B255" s="838" t="s">
        <v>657</v>
      </c>
      <c r="C255" s="877">
        <f>+'Analiza fin. pok.'!C255/'Analiza fin. pok.'!C$250*100</f>
        <v>-0.825451760798003</v>
      </c>
      <c r="D255" s="877">
        <f>+'Analiza fin. pok.'!D255/'Analiza fin. pok.'!D$250*100</f>
        <v>-1.3362718942118084</v>
      </c>
      <c r="E255" s="877">
        <f>+'Analiza fin. pok.'!E255/'Analiza fin. pok.'!E$250*100</f>
        <v>-0.11127891264605357</v>
      </c>
      <c r="F255" s="877">
        <f>+'Analiza fin. pok.'!F255/'Analiza fin. pok.'!F$250*100</f>
        <v>0.22146164686933761</v>
      </c>
      <c r="G255" s="877">
        <f>+'Analiza fin. pok.'!G255/'Analiza fin. pok.'!G$250*100</f>
        <v>-0.7023705004389815</v>
      </c>
      <c r="H255" s="832"/>
    </row>
    <row r="256" spans="1:8" ht="12.75">
      <c r="A256" s="838">
        <v>7</v>
      </c>
      <c r="B256" s="838" t="s">
        <v>658</v>
      </c>
      <c r="C256" s="877">
        <f>+'Analiza fin. pok.'!C256/'Analiza fin. pok.'!C$250*100</f>
        <v>1.7692514246501776</v>
      </c>
      <c r="D256" s="877">
        <f>+'Analiza fin. pok.'!D256/'Analiza fin. pok.'!D$250*100</f>
        <v>-9.699570815450643</v>
      </c>
      <c r="E256" s="877">
        <f>+'Analiza fin. pok.'!E256/'Analiza fin. pok.'!E$250*100</f>
        <v>0.9339480168508068</v>
      </c>
      <c r="F256" s="877">
        <f>+'Analiza fin. pok.'!F256/'Analiza fin. pok.'!F$250*100</f>
        <v>-9.53291725387558</v>
      </c>
      <c r="G256" s="877">
        <f>+'Analiza fin. pok.'!G256/'Analiza fin. pok.'!G$250*100</f>
        <v>-1.3559652716808117</v>
      </c>
      <c r="H256" s="832"/>
    </row>
    <row r="257" spans="1:8" ht="12.75">
      <c r="A257" s="838">
        <v>8</v>
      </c>
      <c r="B257" s="838" t="s">
        <v>659</v>
      </c>
      <c r="C257" s="877">
        <f>+'Analiza fin. pok.'!C257/'Analiza fin. pok.'!C$250*100</f>
        <v>0</v>
      </c>
      <c r="D257" s="877">
        <f>+'Analiza fin. pok.'!D257/'Analiza fin. pok.'!D$250*100</f>
        <v>0</v>
      </c>
      <c r="E257" s="877">
        <f>+'Analiza fin. pok.'!E257/'Analiza fin. pok.'!E$250*100</f>
        <v>0</v>
      </c>
      <c r="F257" s="877">
        <f>+'Analiza fin. pok.'!F257/'Analiza fin. pok.'!F$250*100</f>
        <v>0</v>
      </c>
      <c r="G257" s="877">
        <f>+'Analiza fin. pok.'!G257/'Analiza fin. pok.'!G$250*100</f>
        <v>0</v>
      </c>
      <c r="H257" s="832"/>
    </row>
    <row r="258" spans="1:8" ht="12.75">
      <c r="A258" s="838">
        <v>9</v>
      </c>
      <c r="B258" s="838" t="s">
        <v>660</v>
      </c>
      <c r="C258" s="877">
        <f>+'Analiza fin. pok.'!C258/'Analiza fin. pok.'!C$250*100</f>
        <v>1.7692514246501776</v>
      </c>
      <c r="D258" s="877">
        <f>+'Analiza fin. pok.'!D258/'Analiza fin. pok.'!D$250*100</f>
        <v>-9.699570815450643</v>
      </c>
      <c r="E258" s="877">
        <f>+'Analiza fin. pok.'!E258/'Analiza fin. pok.'!E$250*100</f>
        <v>0.9339480168508068</v>
      </c>
      <c r="F258" s="877">
        <f>+'Analiza fin. pok.'!F258/'Analiza fin. pok.'!F$250*100</f>
        <v>-9.53291725387558</v>
      </c>
      <c r="G258" s="877">
        <f>+'Analiza fin. pok.'!G258/'Analiza fin. pok.'!G$250*100</f>
        <v>-1.3559652716808117</v>
      </c>
      <c r="H258" s="832"/>
    </row>
    <row r="259" spans="1:8" ht="12.75">
      <c r="A259" s="838">
        <v>10</v>
      </c>
      <c r="B259" s="838" t="s">
        <v>661</v>
      </c>
      <c r="C259" s="877">
        <f>+'Analiza fin. pok.'!C259/'Analiza fin. pok.'!C$250*100</f>
        <v>0.029870675132720893</v>
      </c>
      <c r="D259" s="877">
        <f>+'Analiza fin. pok.'!D259/'Analiza fin. pok.'!D$250*100</f>
        <v>-0.021012458530688453</v>
      </c>
      <c r="E259" s="877">
        <f>+'Analiza fin. pok.'!E259/'Analiza fin. pok.'!E$250*100</f>
        <v>0.3131646096790894</v>
      </c>
      <c r="F259" s="877">
        <f>+'Analiza fin. pok.'!F259/'Analiza fin. pok.'!F$250*100</f>
        <v>-0.08730479783703506</v>
      </c>
      <c r="G259" s="877">
        <f>+'Analiza fin. pok.'!G259/'Analiza fin. pok.'!G$250*100</f>
        <v>-1.2196844283120538</v>
      </c>
      <c r="H259" s="832"/>
    </row>
    <row r="260" spans="1:8" ht="12.75">
      <c r="A260" s="838">
        <v>11</v>
      </c>
      <c r="B260" s="838" t="s">
        <v>662</v>
      </c>
      <c r="C260" s="877">
        <f>+'Analiza fin. pok.'!C260/'Analiza fin. pok.'!C$250*100</f>
        <v>0.001458517810819663</v>
      </c>
      <c r="D260" s="877">
        <f>+'Analiza fin. pok.'!D260/'Analiza fin. pok.'!D$250*100</f>
        <v>0.0020003106723843183</v>
      </c>
      <c r="E260" s="877">
        <f>+'Analiza fin. pok.'!E260/'Analiza fin. pok.'!E$250*100</f>
        <v>0.0044477741680717464</v>
      </c>
      <c r="F260" s="877">
        <f>+'Analiza fin. pok.'!F260/'Analiza fin. pok.'!F$250*100</f>
        <v>0.010300294509762319</v>
      </c>
      <c r="G260" s="877">
        <f>+'Analiza fin. pok.'!G260/'Analiza fin. pok.'!G$250*100</f>
        <v>0.004702120656416044</v>
      </c>
      <c r="H260" s="832"/>
    </row>
    <row r="261" spans="1:8" ht="12.75">
      <c r="A261" s="838">
        <v>12</v>
      </c>
      <c r="B261" s="838" t="s">
        <v>663</v>
      </c>
      <c r="C261" s="877">
        <f>+'Analiza fin. pok.'!C261/'Analiza fin. pok.'!C$250*100</f>
        <v>0.0009945201937325337</v>
      </c>
      <c r="D261" s="877">
        <f>+'Analiza fin. pok.'!D261/'Analiza fin. pok.'!D$250*100</f>
        <v>0.0023199164830066117</v>
      </c>
      <c r="E261" s="877">
        <f>+'Analiza fin. pok.'!E261/'Analiza fin. pok.'!E$250*100</f>
        <v>0.003974246880216198</v>
      </c>
      <c r="F261" s="877">
        <f>+'Analiza fin. pok.'!F261/'Analiza fin. pok.'!F$250*100</f>
        <v>0.010066438494060801</v>
      </c>
      <c r="G261" s="877">
        <f>+'Analiza fin. pok.'!G261/'Analiza fin. pok.'!G$250*100</f>
        <v>0.0097551458394303</v>
      </c>
      <c r="H261" s="832"/>
    </row>
    <row r="262" spans="1:8" ht="12.75">
      <c r="A262" s="838">
        <v>13</v>
      </c>
      <c r="B262" s="838" t="s">
        <v>664</v>
      </c>
      <c r="C262" s="877">
        <f>+'Analiza fin. pok.'!C262/'Analiza fin. pok.'!C$250*100</f>
        <v>0.043806965385760996</v>
      </c>
      <c r="D262" s="877">
        <f>+'Analiza fin. pok.'!D262/'Analiza fin. pok.'!D$250*100</f>
        <v>-0.018117654389651253</v>
      </c>
      <c r="E262" s="877">
        <f>+'Analiza fin. pok.'!E262/'Analiza fin. pok.'!E$250*100</f>
        <v>0.35047783976851277</v>
      </c>
      <c r="F262" s="877">
        <f>+'Analiza fin. pok.'!F262/'Analiza fin. pok.'!F$250*100</f>
        <v>-0.0893329979979799</v>
      </c>
      <c r="G262" s="877">
        <f>+'Analiza fin. pok.'!G262/'Analiza fin. pok.'!G$250*100</f>
        <v>-0.5879054438626448</v>
      </c>
      <c r="H262" s="832"/>
    </row>
    <row r="263" spans="1:8" ht="12.75">
      <c r="A263" s="838">
        <v>14</v>
      </c>
      <c r="B263" s="838" t="s">
        <v>665</v>
      </c>
      <c r="C263" s="877">
        <f>+'Analiza fin. pok.'!C263/'Analiza fin. pok.'!C$250*100</f>
        <v>0.0007750553591835866</v>
      </c>
      <c r="D263" s="877">
        <f>+'Analiza fin. pok.'!D263/'Analiza fin. pok.'!D$250*100</f>
        <v>0.0017573347176228252</v>
      </c>
      <c r="E263" s="877">
        <f>+'Analiza fin. pok.'!E263/'Analiza fin. pok.'!E$250*100</f>
        <v>0.0032732808340195734</v>
      </c>
      <c r="F263" s="877">
        <f>+'Analiza fin. pok.'!F263/'Analiza fin. pok.'!F$250*100</f>
        <v>0.008516040779553752</v>
      </c>
      <c r="G263" s="877">
        <f>+'Analiza fin. pok.'!G263/'Analiza fin. pok.'!G$250*100</f>
        <v>0.007971793649098391</v>
      </c>
      <c r="H263" s="832"/>
    </row>
    <row r="264" spans="1:8" ht="12.75">
      <c r="A264" s="838">
        <v>15</v>
      </c>
      <c r="B264" s="838" t="s">
        <v>666</v>
      </c>
      <c r="C264" s="877">
        <f>+'Analiza fin. pok.'!C264/'Analiza fin. pok.'!C$250*100</f>
        <v>96.67058012812333</v>
      </c>
      <c r="D264" s="877">
        <f>+'Analiza fin. pok.'!D264/'Analiza fin. pok.'!D$250*100</f>
        <v>111.04067132181797</v>
      </c>
      <c r="E264" s="877">
        <f>+'Analiza fin. pok.'!E264/'Analiza fin. pok.'!E$250*100</f>
        <v>98.73093997297819</v>
      </c>
      <c r="F264" s="877">
        <f>+'Analiza fin. pok.'!F264/'Analiza fin. pok.'!F$250*100</f>
        <v>111.53022370299857</v>
      </c>
      <c r="G264" s="877">
        <f>+'Analiza fin. pok.'!G264/'Analiza fin. pok.'!G$250*100</f>
        <v>100.79980900083562</v>
      </c>
      <c r="H264" s="832"/>
    </row>
    <row r="265" spans="1:8" ht="12.75">
      <c r="A265" s="838">
        <v>16</v>
      </c>
      <c r="B265" s="838" t="s">
        <v>667</v>
      </c>
      <c r="C265" s="877">
        <f>+'Analiza fin. pok.'!C265/'Analiza fin. pok.'!C$250*100</f>
        <v>0.0010287723446103627</v>
      </c>
      <c r="D265" s="877">
        <f>+'Analiza fin. pok.'!D265/'Analiza fin. pok.'!D$250*100</f>
        <v>0.0020892493312500175</v>
      </c>
      <c r="E265" s="877">
        <f>+'Analiza fin. pok.'!E265/'Analiza fin. pok.'!E$250*100</f>
        <v>0.004025330743639142</v>
      </c>
      <c r="F265" s="877">
        <f>+'Analiza fin. pok.'!F265/'Analiza fin. pok.'!F$250*100</f>
        <v>0.009025749397640774</v>
      </c>
      <c r="G265" s="877">
        <f>+'Analiza fin. pok.'!G265/'Analiza fin. pok.'!G$250*100</f>
        <v>0.00967774238475931</v>
      </c>
      <c r="H265" s="832"/>
    </row>
    <row r="266" spans="1:8" ht="12.75">
      <c r="A266" s="832"/>
      <c r="B266" s="832"/>
      <c r="C266" s="832"/>
      <c r="D266" s="832"/>
      <c r="E266" s="832"/>
      <c r="F266" s="832"/>
      <c r="G266" s="832"/>
      <c r="H266" s="832"/>
    </row>
    <row r="267" spans="1:8" ht="12.75">
      <c r="A267" s="832"/>
      <c r="B267" s="832"/>
      <c r="C267" s="832"/>
      <c r="D267" s="832"/>
      <c r="E267" s="832"/>
      <c r="F267" s="832"/>
      <c r="G267" s="832"/>
      <c r="H267" s="832"/>
    </row>
    <row r="268" spans="1:8" ht="12.75">
      <c r="A268" s="832"/>
      <c r="B268" s="832" t="s">
        <v>802</v>
      </c>
      <c r="C268" s="832"/>
      <c r="D268" s="832"/>
      <c r="E268" s="832"/>
      <c r="F268" s="832"/>
      <c r="G268" s="832"/>
      <c r="H268" s="832"/>
    </row>
    <row r="269" spans="1:8" ht="12.75">
      <c r="A269" s="832" t="s">
        <v>668</v>
      </c>
      <c r="B269" s="832" t="s">
        <v>669</v>
      </c>
      <c r="C269" s="832"/>
      <c r="D269" s="832"/>
      <c r="E269" s="832"/>
      <c r="F269" s="832"/>
      <c r="G269" s="832"/>
      <c r="H269" s="832"/>
    </row>
    <row r="270" spans="1:8" ht="12.75">
      <c r="A270" s="832"/>
      <c r="B270" s="832"/>
      <c r="C270" s="832" t="str">
        <f>+B3</f>
        <v>U 000 din</v>
      </c>
      <c r="D270" s="832"/>
      <c r="E270" s="832"/>
      <c r="F270" s="832"/>
      <c r="G270" s="832"/>
      <c r="H270" s="832"/>
    </row>
    <row r="271" spans="1:8" ht="12.75">
      <c r="A271" s="838" t="s">
        <v>633</v>
      </c>
      <c r="B271" s="838" t="s">
        <v>1441</v>
      </c>
      <c r="C271" s="838"/>
      <c r="D271" s="838" t="s">
        <v>419</v>
      </c>
      <c r="E271" s="838"/>
      <c r="F271" s="838"/>
      <c r="G271" s="838"/>
      <c r="H271" s="832"/>
    </row>
    <row r="272" spans="1:8" ht="12.75">
      <c r="A272" s="838" t="s">
        <v>634</v>
      </c>
      <c r="B272" s="838"/>
      <c r="C272" s="838">
        <f>+$D$6</f>
        <v>2002</v>
      </c>
      <c r="D272" s="838">
        <f>+$E$6</f>
        <v>2001</v>
      </c>
      <c r="E272" s="838">
        <f>+$F$6</f>
        <v>2000</v>
      </c>
      <c r="F272" s="838">
        <f>+E272-1</f>
        <v>1999</v>
      </c>
      <c r="G272" s="838">
        <f>+F272-1</f>
        <v>1998</v>
      </c>
      <c r="H272" s="832"/>
    </row>
    <row r="273" spans="1:8" ht="12.75">
      <c r="A273" s="838">
        <v>1</v>
      </c>
      <c r="B273" s="838">
        <f aca="true" t="shared" si="6" ref="B273:G273">A273+1</f>
        <v>2</v>
      </c>
      <c r="C273" s="838">
        <f t="shared" si="6"/>
        <v>3</v>
      </c>
      <c r="D273" s="838">
        <f t="shared" si="6"/>
        <v>4</v>
      </c>
      <c r="E273" s="838">
        <f t="shared" si="6"/>
        <v>5</v>
      </c>
      <c r="F273" s="838">
        <f t="shared" si="6"/>
        <v>6</v>
      </c>
      <c r="G273" s="838">
        <f t="shared" si="6"/>
        <v>7</v>
      </c>
      <c r="H273" s="832"/>
    </row>
    <row r="274" spans="1:8" ht="12.75">
      <c r="A274" s="838">
        <v>1</v>
      </c>
      <c r="B274" s="838" t="s">
        <v>670</v>
      </c>
      <c r="C274" s="872">
        <f>+'Analiza fin. pok.'!C274/'Analiza fin. pok.'!C$291*100</f>
        <v>65.16453019690762</v>
      </c>
      <c r="D274" s="872">
        <f>+'Analiza fin. pok.'!D274/'Analiza fin. pok.'!D$291*100</f>
        <v>71.86012828470929</v>
      </c>
      <c r="E274" s="872">
        <f>+'Analiza fin. pok.'!E274/'Analiza fin. pok.'!E$291*100</f>
        <v>51.19014281713805</v>
      </c>
      <c r="F274" s="872">
        <f>+'Analiza fin. pok.'!F274/'Analiza fin. pok.'!F$291*100</f>
        <v>145.40481400437636</v>
      </c>
      <c r="G274" s="872">
        <f>+'Analiza fin. pok.'!G274/'Analiza fin. pok.'!G$291*100</f>
        <v>80.77501881113619</v>
      </c>
      <c r="H274" s="832"/>
    </row>
    <row r="275" spans="1:8" ht="12.75">
      <c r="A275" s="838">
        <v>2</v>
      </c>
      <c r="B275" s="838" t="s">
        <v>671</v>
      </c>
      <c r="C275" s="872">
        <f>+'Analiza fin. pok.'!C275/'Analiza fin. pok.'!C$291*100</f>
        <v>195.25571560724197</v>
      </c>
      <c r="D275" s="872">
        <f>+'Analiza fin. pok.'!D275/'Analiza fin. pok.'!D$291*100</f>
        <v>361.51458721291124</v>
      </c>
      <c r="E275" s="872">
        <f>+'Analiza fin. pok.'!E275/'Analiza fin. pok.'!E$291*100</f>
        <v>747.4656958835061</v>
      </c>
      <c r="F275" s="872">
        <f>+'Analiza fin. pok.'!F275/'Analiza fin. pok.'!F$291*100</f>
        <v>430.19693654266956</v>
      </c>
      <c r="G275" s="872">
        <f>+'Analiza fin. pok.'!G275/'Analiza fin. pok.'!G$291*100</f>
        <v>198.1941309255079</v>
      </c>
      <c r="H275" s="832"/>
    </row>
    <row r="276" spans="1:8" ht="12.75">
      <c r="A276" s="838" t="s">
        <v>672</v>
      </c>
      <c r="B276" s="838" t="s">
        <v>673</v>
      </c>
      <c r="C276" s="872">
        <f>+'Analiza fin. pok.'!C276/'Analiza fin. pok.'!C$291*100</f>
        <v>136.05127527421698</v>
      </c>
      <c r="D276" s="872">
        <f>+'Analiza fin. pok.'!D276/'Analiza fin. pok.'!D$291*100</f>
        <v>359.4868611628388</v>
      </c>
      <c r="E276" s="872">
        <f>+'Analiza fin. pok.'!E276/'Analiza fin. pok.'!E$291*100</f>
        <v>747.4656958835061</v>
      </c>
      <c r="F276" s="872">
        <f>+'Analiza fin. pok.'!F276/'Analiza fin. pok.'!F$291*100</f>
        <v>430.19693654266956</v>
      </c>
      <c r="G276" s="872">
        <f>+'Analiza fin. pok.'!G276/'Analiza fin. pok.'!G$291*100</f>
        <v>198.1941309255079</v>
      </c>
      <c r="H276" s="832"/>
    </row>
    <row r="277" spans="1:8" ht="12.75">
      <c r="A277" s="838" t="s">
        <v>674</v>
      </c>
      <c r="B277" s="838" t="s">
        <v>675</v>
      </c>
      <c r="C277" s="872">
        <f>+'Analiza fin. pok.'!C277/'Analiza fin. pok.'!C$291*100</f>
        <v>0</v>
      </c>
      <c r="D277" s="872">
        <f>+'Analiza fin. pok.'!D277/'Analiza fin. pok.'!D$291*100</f>
        <v>0</v>
      </c>
      <c r="E277" s="872">
        <f>+'Analiza fin. pok.'!E277/'Analiza fin. pok.'!E$291*100</f>
        <v>0</v>
      </c>
      <c r="F277" s="872">
        <f>+'Analiza fin. pok.'!F277/'Analiza fin. pok.'!F$291*100</f>
        <v>0</v>
      </c>
      <c r="G277" s="872">
        <f>+'Analiza fin. pok.'!G277/'Analiza fin. pok.'!G$291*100</f>
        <v>0</v>
      </c>
      <c r="H277" s="832"/>
    </row>
    <row r="278" spans="1:8" ht="12.75">
      <c r="A278" s="838" t="s">
        <v>676</v>
      </c>
      <c r="B278" s="838" t="s">
        <v>677</v>
      </c>
      <c r="C278" s="872">
        <f>+'Analiza fin. pok.'!C278/'Analiza fin. pok.'!C$291*100</f>
        <v>59.204440333024976</v>
      </c>
      <c r="D278" s="872">
        <f>+'Analiza fin. pok.'!D278/'Analiza fin. pok.'!D$291*100</f>
        <v>0</v>
      </c>
      <c r="E278" s="872">
        <f>+'Analiza fin. pok.'!E278/'Analiza fin. pok.'!E$291*100</f>
        <v>0</v>
      </c>
      <c r="F278" s="872">
        <f>+'Analiza fin. pok.'!F278/'Analiza fin. pok.'!F$291*100</f>
        <v>0</v>
      </c>
      <c r="G278" s="872">
        <f>+'Analiza fin. pok.'!G278/'Analiza fin. pok.'!G$291*100</f>
        <v>0</v>
      </c>
      <c r="H278" s="832"/>
    </row>
    <row r="279" spans="1:8" ht="12.75">
      <c r="A279" s="838" t="s">
        <v>678</v>
      </c>
      <c r="B279" s="838" t="s">
        <v>679</v>
      </c>
      <c r="C279" s="872">
        <f>+'Analiza fin. pok.'!C279/'Analiza fin. pok.'!C$291*100</f>
        <v>0</v>
      </c>
      <c r="D279" s="872">
        <f>+'Analiza fin. pok.'!D279/'Analiza fin. pok.'!D$291*100</f>
        <v>2.0277260500724186</v>
      </c>
      <c r="E279" s="872">
        <f>+'Analiza fin. pok.'!E279/'Analiza fin. pok.'!E$291*100</f>
        <v>0</v>
      </c>
      <c r="F279" s="872">
        <f>+'Analiza fin. pok.'!F279/'Analiza fin. pok.'!F$291*100</f>
        <v>0</v>
      </c>
      <c r="G279" s="872">
        <f>+'Analiza fin. pok.'!G279/'Analiza fin. pok.'!G$291*100</f>
        <v>0</v>
      </c>
      <c r="H279" s="832"/>
    </row>
    <row r="280" spans="1:8" ht="12.75">
      <c r="A280" s="838" t="s">
        <v>680</v>
      </c>
      <c r="B280" s="838" t="s">
        <v>681</v>
      </c>
      <c r="C280" s="872">
        <f>+'Analiza fin. pok.'!C280/'Analiza fin. pok.'!C$291*100</f>
        <v>0</v>
      </c>
      <c r="D280" s="872">
        <f>+'Analiza fin. pok.'!D280/'Analiza fin. pok.'!D$291*100</f>
        <v>0</v>
      </c>
      <c r="E280" s="872">
        <f>+'Analiza fin. pok.'!E280/'Analiza fin. pok.'!E$291*100</f>
        <v>0</v>
      </c>
      <c r="F280" s="872">
        <f>+'Analiza fin. pok.'!F280/'Analiza fin. pok.'!F$291*100</f>
        <v>0</v>
      </c>
      <c r="G280" s="872">
        <f>+'Analiza fin. pok.'!G280/'Analiza fin. pok.'!G$291*100</f>
        <v>0</v>
      </c>
      <c r="H280" s="832"/>
    </row>
    <row r="281" spans="1:8" ht="12.75">
      <c r="A281" s="838" t="s">
        <v>682</v>
      </c>
      <c r="B281" s="838" t="s">
        <v>683</v>
      </c>
      <c r="C281" s="872">
        <f>+'Analiza fin. pok.'!C281/'Analiza fin. pok.'!C$291*100</f>
        <v>0</v>
      </c>
      <c r="D281" s="872">
        <f>+'Analiza fin. pok.'!D281/'Analiza fin. pok.'!D$291*100</f>
        <v>0</v>
      </c>
      <c r="E281" s="872">
        <f>+'Analiza fin. pok.'!E281/'Analiza fin. pok.'!E$291*100</f>
        <v>0</v>
      </c>
      <c r="F281" s="872">
        <f>+'Analiza fin. pok.'!F281/'Analiza fin. pok.'!F$291*100</f>
        <v>0</v>
      </c>
      <c r="G281" s="872">
        <f>+'Analiza fin. pok.'!G281/'Analiza fin. pok.'!G$291*100</f>
        <v>0</v>
      </c>
      <c r="H281" s="832"/>
    </row>
    <row r="282" spans="1:8" ht="12.75">
      <c r="A282" s="838" t="s">
        <v>684</v>
      </c>
      <c r="B282" s="838" t="s">
        <v>685</v>
      </c>
      <c r="C282" s="872">
        <f>+'Analiza fin. pok.'!C282/'Analiza fin. pok.'!C$291*100</f>
        <v>0</v>
      </c>
      <c r="D282" s="872">
        <f>+'Analiza fin. pok.'!D282/'Analiza fin. pok.'!D$291*100</f>
        <v>0</v>
      </c>
      <c r="E282" s="872">
        <f>+'Analiza fin. pok.'!E282/'Analiza fin. pok.'!E$291*100</f>
        <v>0</v>
      </c>
      <c r="F282" s="872">
        <f>+'Analiza fin. pok.'!F282/'Analiza fin. pok.'!F$291*100</f>
        <v>0</v>
      </c>
      <c r="G282" s="872">
        <f>+'Analiza fin. pok.'!G282/'Analiza fin. pok.'!G$291*100</f>
        <v>0</v>
      </c>
      <c r="H282" s="832"/>
    </row>
    <row r="283" spans="1:8" ht="12.75">
      <c r="A283" s="838">
        <v>3</v>
      </c>
      <c r="B283" s="838" t="s">
        <v>686</v>
      </c>
      <c r="C283" s="872">
        <f>+'Analiza fin. pok.'!C283/'Analiza fin. pok.'!C$291*100</f>
        <v>160.4202458041496</v>
      </c>
      <c r="D283" s="872">
        <f>+'Analiza fin. pok.'!D283/'Analiza fin. pok.'!D$291*100</f>
        <v>333.37471549762057</v>
      </c>
      <c r="E283" s="872">
        <f>+'Analiza fin. pok.'!E283/'Analiza fin. pok.'!E$291*100</f>
        <v>698.655838700644</v>
      </c>
      <c r="F283" s="872">
        <f>+'Analiza fin. pok.'!F283/'Analiza fin. pok.'!F$291*100</f>
        <v>475.6017505470459</v>
      </c>
      <c r="G283" s="872">
        <f>+'Analiza fin. pok.'!G283/'Analiza fin. pok.'!G$291*100</f>
        <v>178.96914973664408</v>
      </c>
      <c r="H283" s="832"/>
    </row>
    <row r="284" spans="1:8" ht="12.75">
      <c r="A284" s="838" t="s">
        <v>687</v>
      </c>
      <c r="B284" s="838" t="s">
        <v>688</v>
      </c>
      <c r="C284" s="872">
        <f>+'Analiza fin. pok.'!C284/'Analiza fin. pok.'!C$291*100</f>
        <v>0</v>
      </c>
      <c r="D284" s="872">
        <f>+'Analiza fin. pok.'!D284/'Analiza fin. pok.'!D$291*100</f>
        <v>0</v>
      </c>
      <c r="E284" s="872">
        <f>+'Analiza fin. pok.'!E284/'Analiza fin. pok.'!E$291*100</f>
        <v>0</v>
      </c>
      <c r="F284" s="872">
        <f>+'Analiza fin. pok.'!F284/'Analiza fin. pok.'!F$291*100</f>
        <v>0</v>
      </c>
      <c r="G284" s="872">
        <f>+'Analiza fin. pok.'!G284/'Analiza fin. pok.'!G$291*100</f>
        <v>0</v>
      </c>
      <c r="H284" s="832"/>
    </row>
    <row r="285" spans="1:8" ht="12.75">
      <c r="A285" s="838" t="s">
        <v>689</v>
      </c>
      <c r="B285" s="838" t="s">
        <v>690</v>
      </c>
      <c r="C285" s="872">
        <f>+'Analiza fin. pok.'!C285/'Analiza fin. pok.'!C$291*100</f>
        <v>0</v>
      </c>
      <c r="D285" s="872">
        <f>+'Analiza fin. pok.'!D285/'Analiza fin. pok.'!D$291*100</f>
        <v>0</v>
      </c>
      <c r="E285" s="872">
        <f>+'Analiza fin. pok.'!E285/'Analiza fin. pok.'!E$291*100</f>
        <v>0</v>
      </c>
      <c r="F285" s="872">
        <f>+'Analiza fin. pok.'!F285/'Analiza fin. pok.'!F$291*100</f>
        <v>0</v>
      </c>
      <c r="G285" s="872">
        <f>+'Analiza fin. pok.'!G285/'Analiza fin. pok.'!G$291*100</f>
        <v>0</v>
      </c>
      <c r="H285" s="832"/>
    </row>
    <row r="286" spans="1:8" ht="12.75">
      <c r="A286" s="838" t="s">
        <v>691</v>
      </c>
      <c r="B286" s="838" t="s">
        <v>692</v>
      </c>
      <c r="C286" s="872">
        <f>+'Analiza fin. pok.'!C286/'Analiza fin. pok.'!C$291*100</f>
        <v>0</v>
      </c>
      <c r="D286" s="872">
        <f>+'Analiza fin. pok.'!D286/'Analiza fin. pok.'!D$291*100</f>
        <v>0</v>
      </c>
      <c r="E286" s="872">
        <f>+'Analiza fin. pok.'!E286/'Analiza fin. pok.'!E$291*100</f>
        <v>0</v>
      </c>
      <c r="F286" s="872">
        <f>+'Analiza fin. pok.'!F286/'Analiza fin. pok.'!F$291*100</f>
        <v>0</v>
      </c>
      <c r="G286" s="872">
        <f>+'Analiza fin. pok.'!G286/'Analiza fin. pok.'!G$291*100</f>
        <v>0</v>
      </c>
      <c r="H286" s="832"/>
    </row>
    <row r="287" spans="1:8" ht="12.75">
      <c r="A287" s="838" t="s">
        <v>693</v>
      </c>
      <c r="B287" s="838" t="s">
        <v>694</v>
      </c>
      <c r="C287" s="872">
        <f>+'Analiza fin. pok.'!C287/'Analiza fin. pok.'!C$291*100</f>
        <v>1.2950971322849214</v>
      </c>
      <c r="D287" s="872">
        <f>+'Analiza fin. pok.'!D287/'Analiza fin. pok.'!D$291*100</f>
        <v>0</v>
      </c>
      <c r="E287" s="872">
        <f>+'Analiza fin. pok.'!E287/'Analiza fin. pok.'!E$291*100</f>
        <v>0</v>
      </c>
      <c r="F287" s="872">
        <f>+'Analiza fin. pok.'!F287/'Analiza fin. pok.'!F$291*100</f>
        <v>0</v>
      </c>
      <c r="G287" s="872">
        <f>+'Analiza fin. pok.'!G287/'Analiza fin. pok.'!G$291*100</f>
        <v>0</v>
      </c>
      <c r="H287" s="832"/>
    </row>
    <row r="288" spans="1:8" ht="12.75">
      <c r="A288" s="838" t="s">
        <v>695</v>
      </c>
      <c r="B288" s="838" t="s">
        <v>696</v>
      </c>
      <c r="C288" s="872">
        <f>+'Analiza fin. pok.'!C288/'Analiza fin. pok.'!C$291*100</f>
        <v>112.105193603806</v>
      </c>
      <c r="D288" s="872">
        <f>+'Analiza fin. pok.'!D288/'Analiza fin. pok.'!D$291*100</f>
        <v>125.76039726877714</v>
      </c>
      <c r="E288" s="872">
        <f>+'Analiza fin. pok.'!E288/'Analiza fin. pok.'!E$291*100</f>
        <v>433.6600392047045</v>
      </c>
      <c r="F288" s="872">
        <f>+'Analiza fin. pok.'!F288/'Analiza fin. pok.'!F$291*100</f>
        <v>274.72647702407</v>
      </c>
      <c r="G288" s="872">
        <f>+'Analiza fin. pok.'!G288/'Analiza fin. pok.'!G$291*100</f>
        <v>127.464258841234</v>
      </c>
      <c r="H288" s="832"/>
    </row>
    <row r="289" spans="1:8" ht="12.75">
      <c r="A289" s="838" t="s">
        <v>697</v>
      </c>
      <c r="B289" s="838" t="s">
        <v>698</v>
      </c>
      <c r="C289" s="872">
        <f>+'Analiza fin. pok.'!C289/'Analiza fin. pok.'!C$291*100</f>
        <v>0</v>
      </c>
      <c r="D289" s="872">
        <f>+'Analiza fin. pok.'!D289/'Analiza fin. pok.'!D$291*100</f>
        <v>0</v>
      </c>
      <c r="E289" s="872">
        <f>+'Analiza fin. pok.'!E289/'Analiza fin. pok.'!E$291*100</f>
        <v>0</v>
      </c>
      <c r="F289" s="872">
        <f>+'Analiza fin. pok.'!F289/'Analiza fin. pok.'!F$291*100</f>
        <v>0</v>
      </c>
      <c r="G289" s="872">
        <f>+'Analiza fin. pok.'!G289/'Analiza fin. pok.'!G$291*100</f>
        <v>0</v>
      </c>
      <c r="H289" s="832"/>
    </row>
    <row r="290" spans="1:8" ht="12.75">
      <c r="A290" s="838" t="s">
        <v>699</v>
      </c>
      <c r="B290" s="838" t="s">
        <v>700</v>
      </c>
      <c r="C290" s="872">
        <f>+'Analiza fin. pok.'!C290/'Analiza fin. pok.'!C$291*100</f>
        <v>47.01995506805868</v>
      </c>
      <c r="D290" s="872">
        <f>+'Analiza fin. pok.'!D290/'Analiza fin. pok.'!D$291*100</f>
        <v>207.6143182288434</v>
      </c>
      <c r="E290" s="872">
        <f>+'Analiza fin. pok.'!E290/'Analiza fin. pok.'!E$291*100</f>
        <v>264.9957994959395</v>
      </c>
      <c r="F290" s="872">
        <f>+'Analiza fin. pok.'!F290/'Analiza fin. pok.'!F$291*100</f>
        <v>200.87527352297593</v>
      </c>
      <c r="G290" s="872">
        <f>+'Analiza fin. pok.'!G290/'Analiza fin. pok.'!G$291*100</f>
        <v>51.504890895410085</v>
      </c>
      <c r="H290" s="832"/>
    </row>
    <row r="291" spans="1:8" ht="12.75">
      <c r="A291" s="838">
        <v>4</v>
      </c>
      <c r="B291" s="838" t="s">
        <v>701</v>
      </c>
      <c r="C291" s="872">
        <f>+'Analiza fin. pok.'!C291/'Analiza fin. pok.'!C$291*100</f>
        <v>100</v>
      </c>
      <c r="D291" s="872">
        <f>+'Analiza fin. pok.'!D291/'Analiza fin. pok.'!D$291*100</f>
        <v>100</v>
      </c>
      <c r="E291" s="872">
        <f>+'Analiza fin. pok.'!E291/'Analiza fin. pok.'!E$291*100</f>
        <v>100</v>
      </c>
      <c r="F291" s="872">
        <f>+'Analiza fin. pok.'!F291/'Analiza fin. pok.'!F$291*100</f>
        <v>100</v>
      </c>
      <c r="G291" s="872">
        <f>+'Analiza fin. pok.'!G291/'Analiza fin. pok.'!G$291*100</f>
        <v>100</v>
      </c>
      <c r="H291" s="832"/>
    </row>
    <row r="292" spans="1:8" ht="12.75">
      <c r="A292" s="838">
        <v>5</v>
      </c>
      <c r="B292" s="838" t="s">
        <v>1330</v>
      </c>
      <c r="C292" s="872">
        <f>+'Analiza fin. pok.'!C292/'Analiza fin. pok.'!C$291*100</f>
        <v>55.87419056429233</v>
      </c>
      <c r="D292" s="872">
        <f>+'Analiza fin. pok.'!D292/'Analiza fin. pok.'!D$291*100</f>
        <v>29.87792261535278</v>
      </c>
      <c r="E292" s="872">
        <f>+'Analiza fin. pok.'!E292/'Analiza fin. pok.'!E$291*100</f>
        <v>26.967236068328198</v>
      </c>
      <c r="F292" s="872">
        <f>+'Analiza fin. pok.'!F292/'Analiza fin. pok.'!F$291*100</f>
        <v>28.82932166301969</v>
      </c>
      <c r="G292" s="872">
        <f>+'Analiza fin. pok.'!G292/'Analiza fin. pok.'!G$291*100</f>
        <v>25.056433408577877</v>
      </c>
      <c r="H292" s="832"/>
    </row>
    <row r="293" spans="1:8" ht="12.75">
      <c r="A293" s="838">
        <v>6</v>
      </c>
      <c r="B293" s="838" t="s">
        <v>702</v>
      </c>
      <c r="C293" s="872">
        <f>+'Analiza fin. pok.'!C293/'Analiza fin. pok.'!C$291*100</f>
        <v>44.12580943570768</v>
      </c>
      <c r="D293" s="872">
        <f>+'Analiza fin. pok.'!D293/'Analiza fin. pok.'!D$291*100</f>
        <v>70.12207738464721</v>
      </c>
      <c r="E293" s="872">
        <f>+'Analiza fin. pok.'!E293/'Analiza fin. pok.'!E$291*100</f>
        <v>73.0327639316718</v>
      </c>
      <c r="F293" s="872">
        <f>+'Analiza fin. pok.'!F293/'Analiza fin. pok.'!F$291*100</f>
        <v>71.1706783369803</v>
      </c>
      <c r="G293" s="872">
        <f>+'Analiza fin. pok.'!G293/'Analiza fin. pok.'!G$291*100</f>
        <v>74.94356659142211</v>
      </c>
      <c r="H293" s="832"/>
    </row>
    <row r="294" ht="12.75">
      <c r="F294" s="833"/>
    </row>
    <row r="295" ht="12.75">
      <c r="F295" s="833"/>
    </row>
    <row r="296" ht="12.75">
      <c r="F296" s="833"/>
    </row>
    <row r="297" ht="12.75">
      <c r="F297" s="833"/>
    </row>
    <row r="298" ht="12.75">
      <c r="F298" s="833"/>
    </row>
    <row r="299" ht="12.75">
      <c r="F299" s="833"/>
    </row>
    <row r="300" ht="12.75">
      <c r="F300" s="833"/>
    </row>
    <row r="301" ht="12.75">
      <c r="F301" s="833"/>
    </row>
    <row r="302" ht="12.75">
      <c r="F302" s="833"/>
    </row>
    <row r="303" ht="12.75">
      <c r="F303" s="833"/>
    </row>
    <row r="304" ht="12.75">
      <c r="F304" s="833"/>
    </row>
    <row r="305" ht="12.75">
      <c r="F305" s="833"/>
    </row>
    <row r="306" ht="12.75">
      <c r="F306" s="833"/>
    </row>
    <row r="307" ht="12.75">
      <c r="F307" s="833"/>
    </row>
    <row r="308" ht="12.75">
      <c r="F308" s="833"/>
    </row>
    <row r="309" ht="12.75">
      <c r="F309" s="833"/>
    </row>
    <row r="310" ht="12.75">
      <c r="F310" s="833"/>
    </row>
    <row r="311" ht="12.75">
      <c r="F311" s="833"/>
    </row>
    <row r="312" ht="12.75">
      <c r="F312" s="833"/>
    </row>
    <row r="313" ht="12.75">
      <c r="F313" s="833"/>
    </row>
    <row r="314" ht="12.75">
      <c r="F314" s="833"/>
    </row>
    <row r="315" ht="12.75">
      <c r="F315" s="833"/>
    </row>
    <row r="316" ht="12.75">
      <c r="F316" s="833"/>
    </row>
    <row r="317" ht="12.75">
      <c r="F317" s="833"/>
    </row>
    <row r="318" ht="12.75">
      <c r="F318" s="833"/>
    </row>
    <row r="319" ht="12.75">
      <c r="F319" s="833"/>
    </row>
    <row r="320" ht="12.75">
      <c r="F320" s="833"/>
    </row>
    <row r="321" ht="12.75">
      <c r="F321" s="833"/>
    </row>
    <row r="322" ht="12.75">
      <c r="F322" s="833"/>
    </row>
    <row r="323" ht="12.75">
      <c r="F323" s="833"/>
    </row>
    <row r="324" ht="12.75">
      <c r="F324" s="833"/>
    </row>
    <row r="325" ht="12.75">
      <c r="F325" s="833"/>
    </row>
    <row r="326" ht="12.75">
      <c r="F326" s="833"/>
    </row>
    <row r="327" ht="12.75">
      <c r="F327" s="833"/>
    </row>
    <row r="328" ht="12.75">
      <c r="F328" s="833"/>
    </row>
    <row r="329" ht="12.75">
      <c r="F329" s="833"/>
    </row>
    <row r="330" ht="12.75">
      <c r="F330" s="833"/>
    </row>
    <row r="331" ht="12.75">
      <c r="F331" s="833"/>
    </row>
    <row r="332" ht="12.75">
      <c r="F332" s="833"/>
    </row>
    <row r="333" ht="12.75">
      <c r="F333" s="833"/>
    </row>
    <row r="334" ht="12.75">
      <c r="F334" s="833"/>
    </row>
    <row r="335" ht="12.75">
      <c r="F335" s="833"/>
    </row>
    <row r="336" ht="12.75">
      <c r="F336" s="833"/>
    </row>
    <row r="337" ht="12.75">
      <c r="F337" s="833"/>
    </row>
    <row r="338" ht="12.75">
      <c r="F338" s="833"/>
    </row>
    <row r="339" ht="12.75">
      <c r="F339" s="833"/>
    </row>
    <row r="340" ht="12.75">
      <c r="F340" s="833"/>
    </row>
    <row r="341" ht="12.75">
      <c r="F341" s="833"/>
    </row>
    <row r="342" ht="12.75">
      <c r="F342" s="833"/>
    </row>
    <row r="343" ht="12.75">
      <c r="F343" s="833"/>
    </row>
    <row r="344" ht="12.75">
      <c r="F344" s="833"/>
    </row>
    <row r="345" ht="12.75">
      <c r="F345" s="833"/>
    </row>
    <row r="346" ht="12.75">
      <c r="F346" s="833"/>
    </row>
    <row r="347" ht="12.75">
      <c r="F347" s="833"/>
    </row>
    <row r="348" ht="12.75">
      <c r="F348" s="833"/>
    </row>
    <row r="349" ht="12.75">
      <c r="F349" s="833"/>
    </row>
    <row r="350" ht="12.75">
      <c r="F350" s="833"/>
    </row>
    <row r="351" ht="12.75">
      <c r="F351" s="833"/>
    </row>
    <row r="352" ht="12.75">
      <c r="F352" s="833"/>
    </row>
    <row r="353" ht="12.75">
      <c r="F353" s="833"/>
    </row>
    <row r="354" ht="12.75">
      <c r="F354" s="833"/>
    </row>
    <row r="355" ht="12.75">
      <c r="F355" s="833"/>
    </row>
    <row r="356" ht="12.75">
      <c r="F356" s="833"/>
    </row>
    <row r="357" ht="12.75">
      <c r="F357" s="833"/>
    </row>
    <row r="358" ht="12.75">
      <c r="F358" s="833"/>
    </row>
    <row r="359" ht="12.75">
      <c r="F359" s="833"/>
    </row>
    <row r="360" ht="12.75">
      <c r="F360" s="833"/>
    </row>
    <row r="361" ht="12.75">
      <c r="F361" s="833"/>
    </row>
    <row r="362" ht="12.75">
      <c r="F362" s="833"/>
    </row>
    <row r="363" ht="12.75">
      <c r="F363" s="833"/>
    </row>
    <row r="364" ht="12.75">
      <c r="F364" s="833"/>
    </row>
    <row r="365" ht="12.75">
      <c r="F365" s="833"/>
    </row>
    <row r="366" ht="12.75">
      <c r="F366" s="833"/>
    </row>
    <row r="367" ht="12.75">
      <c r="F367" s="833"/>
    </row>
    <row r="368" ht="12.75">
      <c r="F368" s="833"/>
    </row>
    <row r="369" ht="12.75">
      <c r="F369" s="833"/>
    </row>
    <row r="370" ht="12.75">
      <c r="F370" s="833"/>
    </row>
    <row r="371" ht="12.75">
      <c r="F371" s="833"/>
    </row>
    <row r="372" ht="12.75">
      <c r="F372" s="833"/>
    </row>
    <row r="373" ht="12.75">
      <c r="F373" s="833"/>
    </row>
    <row r="374" ht="12.75">
      <c r="F374" s="833"/>
    </row>
    <row r="375" ht="12.75">
      <c r="F375" s="833"/>
    </row>
    <row r="376" ht="12.75">
      <c r="F376" s="833"/>
    </row>
    <row r="377" ht="12.75">
      <c r="F377" s="833"/>
    </row>
    <row r="378" ht="12.75">
      <c r="F378" s="833"/>
    </row>
    <row r="379" ht="12.75">
      <c r="F379" s="833"/>
    </row>
    <row r="380" ht="12.75">
      <c r="F380" s="833"/>
    </row>
    <row r="381" ht="12.75">
      <c r="F381" s="833"/>
    </row>
    <row r="382" ht="12.75">
      <c r="F382" s="83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4"/>
  <sheetViews>
    <sheetView zoomScalePageLayoutView="0" workbookViewId="0" topLeftCell="A1">
      <pane xSplit="2" ySplit="7" topLeftCell="C16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88" sqref="C188"/>
    </sheetView>
  </sheetViews>
  <sheetFormatPr defaultColWidth="9.140625" defaultRowHeight="12.75"/>
  <cols>
    <col min="1" max="1" width="9.140625" style="165" customWidth="1"/>
    <col min="2" max="2" width="30.8515625" style="165" customWidth="1"/>
    <col min="3" max="3" width="12.28125" style="165" bestFit="1" customWidth="1"/>
    <col min="4" max="6" width="12.140625" style="165" bestFit="1" customWidth="1"/>
    <col min="7" max="7" width="8.8515625" style="165" bestFit="1" customWidth="1"/>
    <col min="8" max="8" width="7.421875" style="165" bestFit="1" customWidth="1"/>
    <col min="9" max="9" width="10.28125" style="165" bestFit="1" customWidth="1"/>
    <col min="10" max="12" width="9.140625" style="165" customWidth="1"/>
    <col min="13" max="13" width="9.140625" style="413" customWidth="1"/>
    <col min="14" max="14" width="28.140625" style="165" bestFit="1" customWidth="1"/>
    <col min="15" max="15" width="12.8515625" style="165" customWidth="1"/>
    <col min="16" max="16" width="16.421875" style="102" customWidth="1"/>
    <col min="17" max="19" width="9.140625" style="165" customWidth="1"/>
    <col min="20" max="20" width="11.140625" style="401" bestFit="1" customWidth="1"/>
    <col min="21" max="21" width="10.7109375" style="165" customWidth="1"/>
    <col min="22" max="22" width="11.7109375" style="165" customWidth="1"/>
    <col min="23" max="16384" width="9.140625" style="165" customWidth="1"/>
  </cols>
  <sheetData>
    <row r="1" ht="12.75">
      <c r="B1" s="165" t="s">
        <v>802</v>
      </c>
    </row>
    <row r="2" spans="1:18" ht="12.75">
      <c r="A2" s="2"/>
      <c r="B2" s="1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414"/>
      <c r="N2" s="1" t="s">
        <v>316</v>
      </c>
      <c r="O2" s="1"/>
      <c r="P2" s="330"/>
      <c r="Q2" s="2"/>
      <c r="R2" s="2"/>
    </row>
    <row r="3" spans="1:18" ht="13.5" thickBot="1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414"/>
      <c r="N3" s="2"/>
      <c r="O3" s="2"/>
      <c r="Q3" s="2"/>
      <c r="R3" s="2" t="s">
        <v>277</v>
      </c>
    </row>
    <row r="4" spans="1:22" ht="13.5" thickTop="1">
      <c r="A4" s="2"/>
      <c r="B4" s="416" t="s">
        <v>1327</v>
      </c>
      <c r="C4" s="986">
        <v>2002</v>
      </c>
      <c r="D4" s="986"/>
      <c r="E4" s="986">
        <f>+C4-1</f>
        <v>2001</v>
      </c>
      <c r="F4" s="986"/>
      <c r="G4" s="986">
        <f>+E4-1</f>
        <v>2000</v>
      </c>
      <c r="H4" s="986"/>
      <c r="I4" s="986">
        <f>+G4-1</f>
        <v>1999</v>
      </c>
      <c r="J4" s="986"/>
      <c r="K4" s="986">
        <f>+I4-1</f>
        <v>1998</v>
      </c>
      <c r="L4" s="986"/>
      <c r="M4" s="414"/>
      <c r="N4" s="4" t="s">
        <v>1327</v>
      </c>
      <c r="O4" s="4" t="s">
        <v>317</v>
      </c>
      <c r="P4" s="331" t="s">
        <v>319</v>
      </c>
      <c r="Q4" s="987" t="s">
        <v>320</v>
      </c>
      <c r="R4" s="987"/>
      <c r="S4" s="197" t="s">
        <v>1113</v>
      </c>
      <c r="T4" s="402" t="s">
        <v>1114</v>
      </c>
      <c r="U4" s="197" t="s">
        <v>236</v>
      </c>
      <c r="V4" s="198" t="s">
        <v>1115</v>
      </c>
    </row>
    <row r="5" spans="1:22" ht="13.5" thickBot="1">
      <c r="A5" s="2"/>
      <c r="B5" s="417"/>
      <c r="C5" s="416" t="s">
        <v>277</v>
      </c>
      <c r="D5" s="416" t="s">
        <v>1328</v>
      </c>
      <c r="E5" s="416" t="s">
        <v>277</v>
      </c>
      <c r="F5" s="416" t="s">
        <v>1328</v>
      </c>
      <c r="G5" s="416" t="s">
        <v>277</v>
      </c>
      <c r="H5" s="416" t="s">
        <v>1328</v>
      </c>
      <c r="I5" s="416" t="s">
        <v>277</v>
      </c>
      <c r="J5" s="416" t="s">
        <v>1328</v>
      </c>
      <c r="K5" s="416" t="s">
        <v>277</v>
      </c>
      <c r="L5" s="416" t="s">
        <v>1328</v>
      </c>
      <c r="M5" s="414"/>
      <c r="N5" s="5"/>
      <c r="O5" s="7" t="s">
        <v>318</v>
      </c>
      <c r="P5" s="79"/>
      <c r="Q5" s="6"/>
      <c r="R5" s="6" t="s">
        <v>1328</v>
      </c>
      <c r="S5" s="199"/>
      <c r="T5" s="403"/>
      <c r="U5" s="199"/>
      <c r="V5" s="200"/>
    </row>
    <row r="6" spans="1:22" ht="13.5" thickTop="1">
      <c r="A6" s="2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4"/>
      <c r="N6" s="2"/>
      <c r="O6" s="2"/>
      <c r="Q6" s="2"/>
      <c r="R6" s="2"/>
      <c r="S6" s="173"/>
      <c r="T6" s="404"/>
      <c r="U6" s="173"/>
      <c r="V6" s="184"/>
    </row>
    <row r="7" spans="1:22" ht="12.75">
      <c r="A7" s="2"/>
      <c r="B7" s="419" t="s">
        <v>1329</v>
      </c>
      <c r="C7" s="417">
        <f>C8+C9+C13+C19</f>
        <v>20877</v>
      </c>
      <c r="D7" s="420">
        <f>C7/$C$40</f>
        <v>0.31112800107300936</v>
      </c>
      <c r="E7" s="417">
        <f>E8+E9+E13+E19</f>
        <v>12315</v>
      </c>
      <c r="F7" s="421">
        <f>E7/$E$40</f>
        <v>0.24602445261307335</v>
      </c>
      <c r="G7" s="417">
        <f>G8+G9+G13+G19</f>
        <v>8535</v>
      </c>
      <c r="H7" s="421">
        <f>G7/$G$40</f>
        <v>0.21134084437291073</v>
      </c>
      <c r="I7" s="417">
        <f>I8+I9+I13+I19</f>
        <v>5251</v>
      </c>
      <c r="J7" s="421">
        <f>I7/$I$40</f>
        <v>0.24365458679411628</v>
      </c>
      <c r="K7" s="417">
        <f>K8+K9+K13+K19</f>
        <v>4424</v>
      </c>
      <c r="L7" s="421">
        <f>K7/$K$40</f>
        <v>0.28244908382813</v>
      </c>
      <c r="M7" s="414"/>
      <c r="N7" s="8" t="s">
        <v>1329</v>
      </c>
      <c r="O7" s="303">
        <f>C7</f>
        <v>20877</v>
      </c>
      <c r="P7" s="332"/>
      <c r="Q7" s="303">
        <f>Q8+Q9+Q13+Q19</f>
        <v>20877</v>
      </c>
      <c r="R7" s="9">
        <f>Q7/$C$40</f>
        <v>0.31112800107300936</v>
      </c>
      <c r="S7" s="173"/>
      <c r="T7" s="405">
        <f>T8+T9+T13+T19</f>
        <v>18004.7</v>
      </c>
      <c r="U7" s="175"/>
      <c r="V7" s="185">
        <f>V8+V9+V13+V19</f>
        <v>18004.7</v>
      </c>
    </row>
    <row r="8" spans="1:22" ht="12.75">
      <c r="A8" s="2"/>
      <c r="B8" s="418" t="s">
        <v>1335</v>
      </c>
      <c r="C8" s="424">
        <f>+Ulaz!F53</f>
        <v>319</v>
      </c>
      <c r="D8" s="422">
        <f>C8/$C$40</f>
        <v>0.00475402751076735</v>
      </c>
      <c r="E8" s="424">
        <f>+Ulaz!J53</f>
        <v>64</v>
      </c>
      <c r="F8" s="423">
        <f>E8/$E$40</f>
        <v>0.001278568003835704</v>
      </c>
      <c r="G8" s="424">
        <f>+Ulaz!N53</f>
        <v>145</v>
      </c>
      <c r="H8" s="423">
        <f>G8/$G$40</f>
        <v>0.0035904419957905162</v>
      </c>
      <c r="I8" s="424">
        <f>+Ulaz!R53</f>
        <v>439</v>
      </c>
      <c r="J8" s="423">
        <f>I8/$I$40</f>
        <v>0.020370284441557238</v>
      </c>
      <c r="K8" s="424">
        <f>+Ulaz!V53</f>
        <v>240</v>
      </c>
      <c r="L8" s="421">
        <f>K8/$K$40</f>
        <v>0.015322735108216816</v>
      </c>
      <c r="M8" s="414"/>
      <c r="N8" s="2" t="s">
        <v>1335</v>
      </c>
      <c r="O8" s="12">
        <f aca="true" t="shared" si="0" ref="O8:O40">C8</f>
        <v>319</v>
      </c>
      <c r="P8" s="333"/>
      <c r="Q8" s="12">
        <f>O8+P8</f>
        <v>319</v>
      </c>
      <c r="R8" s="11">
        <f>Q8/$C$40</f>
        <v>0.00475402751076735</v>
      </c>
      <c r="S8" s="173"/>
      <c r="T8" s="406">
        <f>+Q8</f>
        <v>319</v>
      </c>
      <c r="U8" s="178"/>
      <c r="V8" s="186">
        <f>+T8</f>
        <v>319</v>
      </c>
    </row>
    <row r="9" spans="1:22" ht="12.75">
      <c r="A9" s="2"/>
      <c r="B9" s="418" t="s">
        <v>82</v>
      </c>
      <c r="C9" s="424">
        <f>C10+C12</f>
        <v>16330</v>
      </c>
      <c r="D9" s="422">
        <f>C9/$C$40</f>
        <v>0.243364480410128</v>
      </c>
      <c r="E9" s="424">
        <f>E10+E12</f>
        <v>10807</v>
      </c>
      <c r="F9" s="423">
        <f>E9/$E$40</f>
        <v>0.21589819402269458</v>
      </c>
      <c r="G9" s="424">
        <f>G10+G12</f>
        <v>7427</v>
      </c>
      <c r="H9" s="423">
        <f>G9/$G$40</f>
        <v>0.18390491519128388</v>
      </c>
      <c r="I9" s="424">
        <f>I10+I12</f>
        <v>4285</v>
      </c>
      <c r="J9" s="423">
        <f>I9/$I$40</f>
        <v>0.1988306807108719</v>
      </c>
      <c r="K9" s="424">
        <f>K10+K12</f>
        <v>3518</v>
      </c>
      <c r="L9" s="421">
        <f>K9/$K$40</f>
        <v>0.2246057587946115</v>
      </c>
      <c r="M9" s="414"/>
      <c r="N9" s="2" t="s">
        <v>82</v>
      </c>
      <c r="O9" s="12">
        <f t="shared" si="0"/>
        <v>16330</v>
      </c>
      <c r="P9" s="334"/>
      <c r="Q9" s="12">
        <f>Q10+Q12</f>
        <v>16330</v>
      </c>
      <c r="R9" s="11">
        <f>Q9/$C$40</f>
        <v>0.243364480410128</v>
      </c>
      <c r="S9" s="173"/>
      <c r="T9" s="406">
        <f>T10+T12</f>
        <v>13880.5</v>
      </c>
      <c r="U9" s="179"/>
      <c r="V9" s="187">
        <f>V10+V12</f>
        <v>13880.5</v>
      </c>
    </row>
    <row r="10" spans="1:24" ht="12.75">
      <c r="A10" s="2"/>
      <c r="B10" s="425" t="s">
        <v>83</v>
      </c>
      <c r="C10" s="429">
        <f>+Ulaz!F41</f>
        <v>16330</v>
      </c>
      <c r="D10" s="426">
        <f>C10/$C$40</f>
        <v>0.243364480410128</v>
      </c>
      <c r="E10" s="429">
        <f>+Ulaz!J41</f>
        <v>9799</v>
      </c>
      <c r="F10" s="427">
        <f>E10/$E$40</f>
        <v>0.19576074796228224</v>
      </c>
      <c r="G10" s="429">
        <f>+Ulaz!N41</f>
        <v>7427</v>
      </c>
      <c r="H10" s="427">
        <f>G10/$G$40</f>
        <v>0.18390491519128388</v>
      </c>
      <c r="I10" s="429">
        <f>+Ulaz!R41</f>
        <v>4285</v>
      </c>
      <c r="J10" s="427">
        <f>I10/$I$40</f>
        <v>0.1988306807108719</v>
      </c>
      <c r="K10" s="429">
        <f>+Ulaz!V41</f>
        <v>2316</v>
      </c>
      <c r="L10" s="421">
        <f>K10/$K$40</f>
        <v>0.14786439379429228</v>
      </c>
      <c r="M10" s="414"/>
      <c r="N10" s="3" t="s">
        <v>83</v>
      </c>
      <c r="O10" s="12">
        <f t="shared" si="0"/>
        <v>16330</v>
      </c>
      <c r="P10" s="309"/>
      <c r="Q10" s="13">
        <f>O10+P10</f>
        <v>16330</v>
      </c>
      <c r="R10" s="304">
        <f>Q10/$C$40</f>
        <v>0.243364480410128</v>
      </c>
      <c r="S10" s="173"/>
      <c r="T10" s="407">
        <f>+Q10*0.85</f>
        <v>13880.5</v>
      </c>
      <c r="U10" s="180"/>
      <c r="V10" s="186">
        <f>+T10</f>
        <v>13880.5</v>
      </c>
      <c r="X10" s="165">
        <f>+V10/Q10</f>
        <v>0.85</v>
      </c>
    </row>
    <row r="11" spans="1:24" ht="12.75">
      <c r="A11" s="2"/>
      <c r="B11" s="425" t="s">
        <v>1394</v>
      </c>
      <c r="C11" s="429">
        <f>+Ulaz!F43+Ulaz!F42</f>
        <v>16309</v>
      </c>
      <c r="D11" s="426"/>
      <c r="E11" s="429">
        <f>+Ulaz!J43+Ulaz!J42</f>
        <v>9537</v>
      </c>
      <c r="F11" s="427"/>
      <c r="G11" s="429">
        <f>+Ulaz!N43+Ulaz!N42</f>
        <v>7406</v>
      </c>
      <c r="H11" s="427"/>
      <c r="I11" s="429">
        <f>+Ulaz!R43+Ulaz!R42</f>
        <v>4231</v>
      </c>
      <c r="J11" s="427"/>
      <c r="K11" s="429">
        <f>+Ulaz!V43+Ulaz!V42</f>
        <v>2273</v>
      </c>
      <c r="L11" s="421"/>
      <c r="M11" s="414"/>
      <c r="N11" s="3" t="s">
        <v>1394</v>
      </c>
      <c r="O11" s="12">
        <f t="shared" si="0"/>
        <v>16309</v>
      </c>
      <c r="P11" s="309"/>
      <c r="Q11" s="13">
        <f>O11+P11</f>
        <v>16309</v>
      </c>
      <c r="R11" s="304"/>
      <c r="S11" s="173"/>
      <c r="T11" s="407">
        <f>+Q11*0.85</f>
        <v>13862.65</v>
      </c>
      <c r="U11" s="180"/>
      <c r="V11" s="186">
        <f>+T11</f>
        <v>13862.65</v>
      </c>
      <c r="X11" s="165">
        <f>+V11/Q11</f>
        <v>0.85</v>
      </c>
    </row>
    <row r="12" spans="1:24" ht="12.75">
      <c r="A12" s="2"/>
      <c r="B12" s="425" t="s">
        <v>84</v>
      </c>
      <c r="C12" s="429">
        <f>+Ulaz!F46</f>
        <v>0</v>
      </c>
      <c r="D12" s="426">
        <f aca="true" t="shared" si="1" ref="D12:D21">C12/$C$40</f>
        <v>0</v>
      </c>
      <c r="E12" s="429">
        <f>+Ulaz!J46</f>
        <v>1008</v>
      </c>
      <c r="F12" s="427">
        <f aca="true" t="shared" si="2" ref="F12:F21">E12/$E$40</f>
        <v>0.020137446060412338</v>
      </c>
      <c r="G12" s="429">
        <f>+Ulaz!N46</f>
        <v>0</v>
      </c>
      <c r="H12" s="427">
        <f aca="true" t="shared" si="3" ref="H12:H21">G12/$G$40</f>
        <v>0</v>
      </c>
      <c r="I12" s="429">
        <f>+Ulaz!R46</f>
        <v>0</v>
      </c>
      <c r="J12" s="427">
        <f aca="true" t="shared" si="4" ref="J12:J21">I12/$I$40</f>
        <v>0</v>
      </c>
      <c r="K12" s="429">
        <f>+Ulaz!V46</f>
        <v>1202</v>
      </c>
      <c r="L12" s="421">
        <f aca="true" t="shared" si="5" ref="L12:L21">K12/$K$40</f>
        <v>0.07674136500031922</v>
      </c>
      <c r="M12" s="414"/>
      <c r="N12" s="3" t="s">
        <v>84</v>
      </c>
      <c r="O12" s="12">
        <f t="shared" si="0"/>
        <v>0</v>
      </c>
      <c r="P12" s="309"/>
      <c r="Q12" s="13">
        <f>O12+P12</f>
        <v>0</v>
      </c>
      <c r="R12" s="304">
        <f aca="true" t="shared" si="6" ref="R12:R21">Q12/$C$40</f>
        <v>0</v>
      </c>
      <c r="S12" s="173"/>
      <c r="T12" s="407">
        <f>+Q12</f>
        <v>0</v>
      </c>
      <c r="U12" s="180"/>
      <c r="V12" s="186">
        <f>+T12</f>
        <v>0</v>
      </c>
      <c r="X12" s="165" t="e">
        <f>+V12/Q12</f>
        <v>#DIV/0!</v>
      </c>
    </row>
    <row r="13" spans="1:22" ht="12.75">
      <c r="A13" s="2"/>
      <c r="B13" s="418" t="s">
        <v>1330</v>
      </c>
      <c r="C13" s="424">
        <f>SUM(C14:C18)</f>
        <v>4228</v>
      </c>
      <c r="D13" s="422">
        <f t="shared" si="1"/>
        <v>0.06300949315211397</v>
      </c>
      <c r="E13" s="424">
        <f>SUM(E14:E18)</f>
        <v>1444</v>
      </c>
      <c r="F13" s="423">
        <f t="shared" si="2"/>
        <v>0.028847690586543073</v>
      </c>
      <c r="G13" s="424">
        <f>SUM(G14:G18)</f>
        <v>963</v>
      </c>
      <c r="H13" s="423">
        <f t="shared" si="3"/>
        <v>0.023845487185836324</v>
      </c>
      <c r="I13" s="424">
        <f>SUM(I14:I18)</f>
        <v>527</v>
      </c>
      <c r="J13" s="423">
        <f t="shared" si="4"/>
        <v>0.02445362164168716</v>
      </c>
      <c r="K13" s="424">
        <f>SUM(K14:K18)</f>
        <v>666</v>
      </c>
      <c r="L13" s="421">
        <f t="shared" si="5"/>
        <v>0.042520589925301666</v>
      </c>
      <c r="M13" s="414"/>
      <c r="N13" s="2" t="s">
        <v>1330</v>
      </c>
      <c r="O13" s="12">
        <f t="shared" si="0"/>
        <v>4228</v>
      </c>
      <c r="P13" s="334"/>
      <c r="Q13" s="12">
        <f>SUM(Q14:Q18)</f>
        <v>4228</v>
      </c>
      <c r="R13" s="11">
        <f t="shared" si="6"/>
        <v>0.06300949315211397</v>
      </c>
      <c r="S13" s="173"/>
      <c r="T13" s="406">
        <f>SUM(T14:T18)</f>
        <v>3805.2</v>
      </c>
      <c r="U13" s="179"/>
      <c r="V13" s="187">
        <f>SUM(V14:V18)</f>
        <v>3805.2</v>
      </c>
    </row>
    <row r="14" spans="1:24" ht="12.75">
      <c r="A14" s="2"/>
      <c r="B14" s="425" t="s">
        <v>1336</v>
      </c>
      <c r="C14" s="429">
        <f>+Ulaz!F35</f>
        <v>4065</v>
      </c>
      <c r="D14" s="426">
        <f t="shared" si="1"/>
        <v>0.06058031922027988</v>
      </c>
      <c r="E14" s="429">
        <f>+Ulaz!J35</f>
        <v>1429</v>
      </c>
      <c r="F14" s="427">
        <f t="shared" si="2"/>
        <v>0.02854802621064408</v>
      </c>
      <c r="G14" s="429">
        <f>+Ulaz!N35</f>
        <v>963</v>
      </c>
      <c r="H14" s="427">
        <f t="shared" si="3"/>
        <v>0.023845487185836324</v>
      </c>
      <c r="I14" s="429">
        <f>+Ulaz!R35</f>
        <v>524</v>
      </c>
      <c r="J14" s="427">
        <f t="shared" si="4"/>
        <v>0.024314416964410005</v>
      </c>
      <c r="K14" s="429">
        <f>+Ulaz!V35</f>
        <v>662</v>
      </c>
      <c r="L14" s="421">
        <f t="shared" si="5"/>
        <v>0.04226521100683139</v>
      </c>
      <c r="M14" s="414"/>
      <c r="N14" s="3" t="s">
        <v>1336</v>
      </c>
      <c r="O14" s="12">
        <f t="shared" si="0"/>
        <v>4065</v>
      </c>
      <c r="P14" s="309"/>
      <c r="Q14" s="13">
        <f aca="true" t="shared" si="7" ref="Q14:Q19">O14+P14</f>
        <v>4065</v>
      </c>
      <c r="R14" s="304">
        <f t="shared" si="6"/>
        <v>0.06058031922027988</v>
      </c>
      <c r="S14" s="173"/>
      <c r="T14" s="407">
        <f>+Q14*0.9</f>
        <v>3658.5</v>
      </c>
      <c r="U14" s="180"/>
      <c r="V14" s="186">
        <f aca="true" t="shared" si="8" ref="V14:V19">+T14</f>
        <v>3658.5</v>
      </c>
      <c r="X14" s="165">
        <f aca="true" t="shared" si="9" ref="X14:X19">+V14/Q14</f>
        <v>0.9</v>
      </c>
    </row>
    <row r="15" spans="1:24" ht="12.75">
      <c r="A15" s="2"/>
      <c r="B15" s="425" t="s">
        <v>21</v>
      </c>
      <c r="C15" s="429">
        <f>+Ulaz!F36</f>
        <v>0</v>
      </c>
      <c r="D15" s="426">
        <f t="shared" si="1"/>
        <v>0</v>
      </c>
      <c r="E15" s="429">
        <f>+Ulaz!J36</f>
        <v>0</v>
      </c>
      <c r="F15" s="427">
        <f t="shared" si="2"/>
        <v>0</v>
      </c>
      <c r="G15" s="429">
        <f>+Ulaz!N36</f>
        <v>0</v>
      </c>
      <c r="H15" s="427">
        <f t="shared" si="3"/>
        <v>0</v>
      </c>
      <c r="I15" s="429">
        <f>+Ulaz!R36</f>
        <v>0</v>
      </c>
      <c r="J15" s="427">
        <f t="shared" si="4"/>
        <v>0</v>
      </c>
      <c r="K15" s="429">
        <f>+Ulaz!V36</f>
        <v>0</v>
      </c>
      <c r="L15" s="421">
        <f t="shared" si="5"/>
        <v>0</v>
      </c>
      <c r="M15" s="414"/>
      <c r="N15" s="3" t="s">
        <v>21</v>
      </c>
      <c r="O15" s="12">
        <f t="shared" si="0"/>
        <v>0</v>
      </c>
      <c r="P15" s="309"/>
      <c r="Q15" s="13">
        <f t="shared" si="7"/>
        <v>0</v>
      </c>
      <c r="R15" s="304">
        <f t="shared" si="6"/>
        <v>0</v>
      </c>
      <c r="S15" s="173"/>
      <c r="T15" s="407">
        <f>+Q15*0.85</f>
        <v>0</v>
      </c>
      <c r="U15" s="180"/>
      <c r="V15" s="186">
        <f t="shared" si="8"/>
        <v>0</v>
      </c>
      <c r="X15" s="165" t="e">
        <f t="shared" si="9"/>
        <v>#DIV/0!</v>
      </c>
    </row>
    <row r="16" spans="1:24" ht="12.75">
      <c r="A16" s="2"/>
      <c r="B16" s="425" t="s">
        <v>1337</v>
      </c>
      <c r="C16" s="429">
        <f>+Ulaz!F37</f>
        <v>0</v>
      </c>
      <c r="D16" s="426">
        <f t="shared" si="1"/>
        <v>0</v>
      </c>
      <c r="E16" s="429">
        <f>+Ulaz!J37</f>
        <v>0</v>
      </c>
      <c r="F16" s="427">
        <f t="shared" si="2"/>
        <v>0</v>
      </c>
      <c r="G16" s="429">
        <f>+Ulaz!N37</f>
        <v>0</v>
      </c>
      <c r="H16" s="427">
        <f t="shared" si="3"/>
        <v>0</v>
      </c>
      <c r="I16" s="429">
        <f>+Ulaz!R37</f>
        <v>0</v>
      </c>
      <c r="J16" s="427">
        <f t="shared" si="4"/>
        <v>0</v>
      </c>
      <c r="K16" s="429">
        <f>+Ulaz!V37</f>
        <v>0</v>
      </c>
      <c r="L16" s="421">
        <f t="shared" si="5"/>
        <v>0</v>
      </c>
      <c r="M16" s="414"/>
      <c r="N16" s="3" t="s">
        <v>1337</v>
      </c>
      <c r="O16" s="12">
        <f t="shared" si="0"/>
        <v>0</v>
      </c>
      <c r="P16" s="309"/>
      <c r="Q16" s="13">
        <f t="shared" si="7"/>
        <v>0</v>
      </c>
      <c r="R16" s="304">
        <f t="shared" si="6"/>
        <v>0</v>
      </c>
      <c r="S16" s="173"/>
      <c r="T16" s="407">
        <f>+Q16*0.9</f>
        <v>0</v>
      </c>
      <c r="U16" s="180"/>
      <c r="V16" s="186">
        <f t="shared" si="8"/>
        <v>0</v>
      </c>
      <c r="X16" s="165" t="e">
        <f t="shared" si="9"/>
        <v>#DIV/0!</v>
      </c>
    </row>
    <row r="17" spans="1:24" ht="12.75">
      <c r="A17" s="2"/>
      <c r="B17" s="425" t="s">
        <v>1351</v>
      </c>
      <c r="C17" s="429">
        <f>+Ulaz!F38</f>
        <v>0</v>
      </c>
      <c r="D17" s="426">
        <f t="shared" si="1"/>
        <v>0</v>
      </c>
      <c r="E17" s="429">
        <f>+Ulaz!J38</f>
        <v>0</v>
      </c>
      <c r="F17" s="427">
        <f t="shared" si="2"/>
        <v>0</v>
      </c>
      <c r="G17" s="429">
        <f>+Ulaz!N38</f>
        <v>0</v>
      </c>
      <c r="H17" s="427">
        <f t="shared" si="3"/>
        <v>0</v>
      </c>
      <c r="I17" s="429">
        <f>+Ulaz!R38</f>
        <v>3</v>
      </c>
      <c r="J17" s="427">
        <f t="shared" si="4"/>
        <v>0.0001392046772771565</v>
      </c>
      <c r="K17" s="429">
        <f>+Ulaz!V38</f>
        <v>0</v>
      </c>
      <c r="L17" s="421">
        <f t="shared" si="5"/>
        <v>0</v>
      </c>
      <c r="M17" s="414"/>
      <c r="N17" s="3" t="s">
        <v>1351</v>
      </c>
      <c r="O17" s="12">
        <f t="shared" si="0"/>
        <v>0</v>
      </c>
      <c r="P17" s="309"/>
      <c r="Q17" s="13">
        <f t="shared" si="7"/>
        <v>0</v>
      </c>
      <c r="R17" s="304">
        <f t="shared" si="6"/>
        <v>0</v>
      </c>
      <c r="S17" s="173"/>
      <c r="T17" s="407">
        <f>+Q17*0.9</f>
        <v>0</v>
      </c>
      <c r="U17" s="180"/>
      <c r="V17" s="186">
        <f t="shared" si="8"/>
        <v>0</v>
      </c>
      <c r="X17" s="165" t="e">
        <f t="shared" si="9"/>
        <v>#DIV/0!</v>
      </c>
    </row>
    <row r="18" spans="1:24" ht="12.75">
      <c r="A18" s="2"/>
      <c r="B18" s="425" t="s">
        <v>1352</v>
      </c>
      <c r="C18" s="429">
        <f>+Ulaz!F39</f>
        <v>163</v>
      </c>
      <c r="D18" s="426">
        <f t="shared" si="1"/>
        <v>0.002429173931834101</v>
      </c>
      <c r="E18" s="429">
        <f>+Ulaz!J39</f>
        <v>15</v>
      </c>
      <c r="F18" s="427">
        <f t="shared" si="2"/>
        <v>0.00029966437589899313</v>
      </c>
      <c r="G18" s="429">
        <f>+Ulaz!N39</f>
        <v>0</v>
      </c>
      <c r="H18" s="427">
        <f t="shared" si="3"/>
        <v>0</v>
      </c>
      <c r="I18" s="429">
        <f>+Ulaz!R39</f>
        <v>0</v>
      </c>
      <c r="J18" s="427">
        <f t="shared" si="4"/>
        <v>0</v>
      </c>
      <c r="K18" s="429">
        <f>+Ulaz!V39</f>
        <v>4</v>
      </c>
      <c r="L18" s="421">
        <f t="shared" si="5"/>
        <v>0.00025537891847028025</v>
      </c>
      <c r="M18" s="414"/>
      <c r="N18" s="3" t="s">
        <v>1352</v>
      </c>
      <c r="O18" s="12">
        <f t="shared" si="0"/>
        <v>163</v>
      </c>
      <c r="P18" s="309"/>
      <c r="Q18" s="13">
        <f t="shared" si="7"/>
        <v>163</v>
      </c>
      <c r="R18" s="304">
        <f t="shared" si="6"/>
        <v>0.002429173931834101</v>
      </c>
      <c r="S18" s="173"/>
      <c r="T18" s="407">
        <f>+Q18*0.9</f>
        <v>146.70000000000002</v>
      </c>
      <c r="U18" s="180"/>
      <c r="V18" s="186">
        <f t="shared" si="8"/>
        <v>146.70000000000002</v>
      </c>
      <c r="X18" s="165">
        <f t="shared" si="9"/>
        <v>0.9000000000000001</v>
      </c>
    </row>
    <row r="19" spans="1:24" ht="12.75">
      <c r="A19" s="2"/>
      <c r="B19" s="418" t="s">
        <v>85</v>
      </c>
      <c r="C19" s="424">
        <f>+Ulaz!F56</f>
        <v>0</v>
      </c>
      <c r="D19" s="422">
        <f t="shared" si="1"/>
        <v>0</v>
      </c>
      <c r="E19" s="424">
        <f>+Ulaz!J56</f>
        <v>0</v>
      </c>
      <c r="F19" s="423">
        <f t="shared" si="2"/>
        <v>0</v>
      </c>
      <c r="G19" s="424">
        <f>+Ulaz!N56</f>
        <v>0</v>
      </c>
      <c r="H19" s="423">
        <f t="shared" si="3"/>
        <v>0</v>
      </c>
      <c r="I19" s="424">
        <f>+Ulaz!R56</f>
        <v>0</v>
      </c>
      <c r="J19" s="423">
        <f t="shared" si="4"/>
        <v>0</v>
      </c>
      <c r="K19" s="424">
        <f>+Ulaz!V56</f>
        <v>0</v>
      </c>
      <c r="L19" s="421">
        <f t="shared" si="5"/>
        <v>0</v>
      </c>
      <c r="M19" s="414"/>
      <c r="N19" s="2" t="s">
        <v>85</v>
      </c>
      <c r="O19" s="12">
        <f t="shared" si="0"/>
        <v>0</v>
      </c>
      <c r="P19" s="333"/>
      <c r="Q19" s="12">
        <f t="shared" si="7"/>
        <v>0</v>
      </c>
      <c r="R19" s="11">
        <f t="shared" si="6"/>
        <v>0</v>
      </c>
      <c r="S19" s="173"/>
      <c r="T19" s="406">
        <v>0</v>
      </c>
      <c r="U19" s="178"/>
      <c r="V19" s="186">
        <f t="shared" si="8"/>
        <v>0</v>
      </c>
      <c r="X19" s="165" t="e">
        <f t="shared" si="9"/>
        <v>#DIV/0!</v>
      </c>
    </row>
    <row r="20" spans="1:22" ht="12.75">
      <c r="A20" s="2"/>
      <c r="B20" s="419" t="s">
        <v>1331</v>
      </c>
      <c r="C20" s="417">
        <f>+C24+C21+C36</f>
        <v>46224</v>
      </c>
      <c r="D20" s="420">
        <f t="shared" si="1"/>
        <v>0.6888719989269907</v>
      </c>
      <c r="E20" s="417">
        <f>+E24+E21+E36</f>
        <v>37741</v>
      </c>
      <c r="F20" s="421">
        <f t="shared" si="2"/>
        <v>0.7539755473869266</v>
      </c>
      <c r="G20" s="417">
        <f>+G24+G21+G36</f>
        <v>31663</v>
      </c>
      <c r="H20" s="421">
        <f t="shared" si="3"/>
        <v>0.7840287235359663</v>
      </c>
      <c r="I20" s="417">
        <f>+I24+I21+I36</f>
        <v>16177</v>
      </c>
      <c r="J20" s="421">
        <f t="shared" si="4"/>
        <v>0.7506380214375203</v>
      </c>
      <c r="K20" s="417">
        <f>+K24+K21+K36</f>
        <v>11155</v>
      </c>
      <c r="L20" s="421">
        <f t="shared" si="5"/>
        <v>0.7121879588839941</v>
      </c>
      <c r="M20" s="414"/>
      <c r="N20" s="8" t="s">
        <v>1331</v>
      </c>
      <c r="O20" s="303">
        <f t="shared" si="0"/>
        <v>46224</v>
      </c>
      <c r="P20" s="114">
        <f>+P24+P21+P36</f>
        <v>0</v>
      </c>
      <c r="Q20" s="303">
        <f>+Q24+Q21+Q36</f>
        <v>46224</v>
      </c>
      <c r="R20" s="9">
        <f t="shared" si="6"/>
        <v>0.6888719989269907</v>
      </c>
      <c r="S20" s="179"/>
      <c r="T20" s="405">
        <f>+T24+T21+T36</f>
        <v>22976.72875000001</v>
      </c>
      <c r="U20" s="175"/>
      <c r="V20" s="185">
        <f>+V24+V21+V36</f>
        <v>22976.72875000001</v>
      </c>
    </row>
    <row r="21" spans="1:22" ht="12.75">
      <c r="A21" s="2"/>
      <c r="B21" s="418" t="s">
        <v>1419</v>
      </c>
      <c r="C21" s="424">
        <f>C22-C23</f>
        <v>0</v>
      </c>
      <c r="D21" s="422">
        <f t="shared" si="1"/>
        <v>0</v>
      </c>
      <c r="E21" s="424">
        <f>E22-E23</f>
        <v>0</v>
      </c>
      <c r="F21" s="423">
        <f t="shared" si="2"/>
        <v>0</v>
      </c>
      <c r="G21" s="424">
        <f>G22-G23</f>
        <v>0</v>
      </c>
      <c r="H21" s="423">
        <f t="shared" si="3"/>
        <v>0</v>
      </c>
      <c r="I21" s="424">
        <f>I22-I23</f>
        <v>0</v>
      </c>
      <c r="J21" s="423">
        <f t="shared" si="4"/>
        <v>0</v>
      </c>
      <c r="K21" s="424">
        <f>K22-K23</f>
        <v>0</v>
      </c>
      <c r="L21" s="421">
        <f t="shared" si="5"/>
        <v>0</v>
      </c>
      <c r="M21" s="414"/>
      <c r="N21" s="2" t="s">
        <v>1419</v>
      </c>
      <c r="O21" s="12">
        <f t="shared" si="0"/>
        <v>0</v>
      </c>
      <c r="P21" s="334"/>
      <c r="Q21" s="12">
        <f>Q22-Q23</f>
        <v>0</v>
      </c>
      <c r="R21" s="11">
        <f t="shared" si="6"/>
        <v>0</v>
      </c>
      <c r="S21" s="173"/>
      <c r="T21" s="406">
        <f>T22-T23</f>
        <v>0</v>
      </c>
      <c r="U21" s="179"/>
      <c r="V21" s="187">
        <f>V22-V23</f>
        <v>0</v>
      </c>
    </row>
    <row r="22" spans="1:24" ht="12.75">
      <c r="A22" s="2"/>
      <c r="B22" s="425" t="s">
        <v>1338</v>
      </c>
      <c r="C22" s="424">
        <f>+Ulaz!D11</f>
        <v>0</v>
      </c>
      <c r="D22" s="422"/>
      <c r="E22" s="424">
        <f>+Ulaz!F11</f>
        <v>0</v>
      </c>
      <c r="F22" s="423"/>
      <c r="G22" s="424">
        <f>+Ulaz!J11</f>
        <v>0</v>
      </c>
      <c r="H22" s="423"/>
      <c r="I22" s="424">
        <f>+Ulaz!L11</f>
        <v>0</v>
      </c>
      <c r="J22" s="423"/>
      <c r="K22" s="424">
        <f>+Ulaz!N11</f>
        <v>0</v>
      </c>
      <c r="L22" s="421"/>
      <c r="M22" s="414"/>
      <c r="N22" s="3" t="s">
        <v>1338</v>
      </c>
      <c r="O22" s="12">
        <f t="shared" si="0"/>
        <v>0</v>
      </c>
      <c r="P22" s="309"/>
      <c r="Q22" s="12">
        <f>O22+P22</f>
        <v>0</v>
      </c>
      <c r="R22" s="11"/>
      <c r="S22" s="173"/>
      <c r="T22" s="406">
        <v>0</v>
      </c>
      <c r="U22" s="178"/>
      <c r="V22" s="186">
        <v>0</v>
      </c>
      <c r="X22" s="165" t="e">
        <f>+V22/Q22</f>
        <v>#DIV/0!</v>
      </c>
    </row>
    <row r="23" spans="1:24" ht="12.75">
      <c r="A23" s="2"/>
      <c r="B23" s="428" t="s">
        <v>1339</v>
      </c>
      <c r="C23" s="424">
        <f>+Ulaz!E11</f>
        <v>0</v>
      </c>
      <c r="D23" s="422"/>
      <c r="E23" s="424">
        <f>+Ulaz!G11</f>
        <v>0</v>
      </c>
      <c r="F23" s="423"/>
      <c r="G23" s="424">
        <f>+Ulaz!K11</f>
        <v>0</v>
      </c>
      <c r="H23" s="423"/>
      <c r="I23" s="424">
        <f>+Ulaz!M11</f>
        <v>0</v>
      </c>
      <c r="J23" s="423"/>
      <c r="K23" s="424">
        <f>+Ulaz!O11</f>
        <v>0</v>
      </c>
      <c r="L23" s="421"/>
      <c r="M23" s="414"/>
      <c r="N23" s="305" t="s">
        <v>1339</v>
      </c>
      <c r="O23" s="12">
        <f t="shared" si="0"/>
        <v>0</v>
      </c>
      <c r="P23" s="309"/>
      <c r="Q23" s="12">
        <f>O23+P23</f>
        <v>0</v>
      </c>
      <c r="R23" s="11"/>
      <c r="S23" s="173"/>
      <c r="T23" s="406">
        <v>0</v>
      </c>
      <c r="U23" s="178"/>
      <c r="V23" s="186">
        <v>0</v>
      </c>
      <c r="X23" s="165" t="e">
        <f>+V23/Q23</f>
        <v>#DIV/0!</v>
      </c>
    </row>
    <row r="24" spans="1:22" ht="12.75">
      <c r="A24" s="2"/>
      <c r="B24" s="418" t="s">
        <v>301</v>
      </c>
      <c r="C24" s="424">
        <f>+C25-C26</f>
        <v>39031</v>
      </c>
      <c r="D24" s="422">
        <f>C24/$C$40</f>
        <v>0.5816753848675876</v>
      </c>
      <c r="E24" s="424">
        <f>+E25-E26</f>
        <v>31303</v>
      </c>
      <c r="F24" s="423">
        <f>E24/$E$40</f>
        <v>0.6253595972510788</v>
      </c>
      <c r="G24" s="424">
        <f>+G25-G26</f>
        <v>27023</v>
      </c>
      <c r="H24" s="423">
        <f>G24/$G$40</f>
        <v>0.6691345796706698</v>
      </c>
      <c r="I24" s="424">
        <f>+I25-I26</f>
        <v>14414</v>
      </c>
      <c r="J24" s="423">
        <f>I24/$I$40</f>
        <v>0.6688320727576447</v>
      </c>
      <c r="K24" s="424">
        <f>+K25-K26</f>
        <v>10859</v>
      </c>
      <c r="L24" s="421">
        <f>K24/$K$40</f>
        <v>0.6932899189171934</v>
      </c>
      <c r="M24" s="414"/>
      <c r="N24" s="2" t="s">
        <v>301</v>
      </c>
      <c r="O24" s="12">
        <f t="shared" si="0"/>
        <v>39031</v>
      </c>
      <c r="P24" s="334">
        <f>P25-P26</f>
        <v>0</v>
      </c>
      <c r="Q24" s="12">
        <f>+Q25-Q26</f>
        <v>39031</v>
      </c>
      <c r="R24" s="11">
        <f>Q24/$C$40</f>
        <v>0.5816753848675876</v>
      </c>
      <c r="S24" s="173"/>
      <c r="T24" s="406">
        <f>+T25-T26</f>
        <v>17581.97875000001</v>
      </c>
      <c r="U24" s="179"/>
      <c r="V24" s="187">
        <f>+V25-V26</f>
        <v>17581.97875000001</v>
      </c>
    </row>
    <row r="25" spans="1:22" ht="12.75">
      <c r="A25" s="2"/>
      <c r="B25" s="425" t="s">
        <v>1338</v>
      </c>
      <c r="C25" s="429">
        <f>+C28+C31+C33+C34+C35</f>
        <v>155983</v>
      </c>
      <c r="D25" s="426"/>
      <c r="E25" s="429">
        <f>+E28+E31+E33+E34+E35</f>
        <v>124974</v>
      </c>
      <c r="F25" s="427">
        <f>E25/$E$40</f>
        <v>2.496683714240051</v>
      </c>
      <c r="G25" s="429">
        <f>+G28+G31+G33+G34+G35</f>
        <v>89371</v>
      </c>
      <c r="H25" s="427">
        <f>G25/$G$40</f>
        <v>2.212975114522719</v>
      </c>
      <c r="I25" s="429">
        <f>+I28+I31+I33+I34+I35</f>
        <v>41940</v>
      </c>
      <c r="J25" s="427">
        <f>I25/$I$40</f>
        <v>1.946081388334648</v>
      </c>
      <c r="K25" s="429">
        <f>+K28+K31+K33+K34+K35</f>
        <v>27655</v>
      </c>
      <c r="L25" s="421">
        <f>K25/$K$40</f>
        <v>1.7656259975739004</v>
      </c>
      <c r="M25" s="414"/>
      <c r="N25" s="3" t="s">
        <v>1338</v>
      </c>
      <c r="O25" s="12">
        <f t="shared" si="0"/>
        <v>155983</v>
      </c>
      <c r="P25" s="71">
        <f>P28+P31+P33+P35</f>
        <v>0</v>
      </c>
      <c r="Q25" s="12">
        <f>Q28+Q31+Q33+Q34+Q35</f>
        <v>155983</v>
      </c>
      <c r="R25" s="304">
        <f>Q25/$C$40</f>
        <v>2.3246002295047763</v>
      </c>
      <c r="S25" s="173"/>
      <c r="T25" s="407">
        <f>+T28+T31+T33+T34+T35</f>
        <v>134533.97875</v>
      </c>
      <c r="U25" s="181"/>
      <c r="V25" s="189">
        <f>+V28+V31+V33+V34+V35</f>
        <v>134533.97875</v>
      </c>
    </row>
    <row r="26" spans="1:22" ht="12.75">
      <c r="A26" s="2"/>
      <c r="B26" s="428" t="s">
        <v>1339</v>
      </c>
      <c r="C26" s="429">
        <f>+C29+C32</f>
        <v>116952</v>
      </c>
      <c r="D26" s="426"/>
      <c r="E26" s="429">
        <f>+E29+E32</f>
        <v>93671</v>
      </c>
      <c r="F26" s="427">
        <f>E26/$E$40</f>
        <v>1.8713241169889723</v>
      </c>
      <c r="G26" s="429">
        <f>+G29+G32</f>
        <v>62348</v>
      </c>
      <c r="H26" s="427">
        <f>G26/$G$40</f>
        <v>1.543840534852049</v>
      </c>
      <c r="I26" s="429">
        <f>+I29+I32</f>
        <v>27526</v>
      </c>
      <c r="J26" s="427">
        <f>I26/$I$40</f>
        <v>1.2772493155770035</v>
      </c>
      <c r="K26" s="429">
        <f>+K29+K32</f>
        <v>16796</v>
      </c>
      <c r="L26" s="421">
        <f>K26/$K$40</f>
        <v>1.0723360786567069</v>
      </c>
      <c r="M26" s="414"/>
      <c r="N26" s="305" t="s">
        <v>1339</v>
      </c>
      <c r="O26" s="12">
        <f t="shared" si="0"/>
        <v>116952</v>
      </c>
      <c r="P26" s="71">
        <f>P29+P32</f>
        <v>0</v>
      </c>
      <c r="Q26" s="12">
        <f>Q29+Q32</f>
        <v>116952</v>
      </c>
      <c r="R26" s="304">
        <f>Q26/$C$40</f>
        <v>1.7429248446371888</v>
      </c>
      <c r="S26" s="173"/>
      <c r="T26" s="407">
        <f>+T29+T32</f>
        <v>116952</v>
      </c>
      <c r="U26" s="181"/>
      <c r="V26" s="189">
        <f>+V29+V32</f>
        <v>116952</v>
      </c>
    </row>
    <row r="27" spans="1:24" ht="12.75">
      <c r="A27" s="2"/>
      <c r="B27" s="418" t="s">
        <v>302</v>
      </c>
      <c r="C27" s="424">
        <f>C28-C29</f>
        <v>2251</v>
      </c>
      <c r="D27" s="430"/>
      <c r="E27" s="424">
        <f>E28-E29</f>
        <v>1946</v>
      </c>
      <c r="F27" s="431"/>
      <c r="G27" s="424">
        <f>G28-G29</f>
        <v>1588</v>
      </c>
      <c r="H27" s="431"/>
      <c r="I27" s="424">
        <f>I28-I29</f>
        <v>832</v>
      </c>
      <c r="J27" s="431"/>
      <c r="K27" s="424">
        <f>K28-K29</f>
        <v>613</v>
      </c>
      <c r="L27" s="431"/>
      <c r="M27" s="414"/>
      <c r="N27" s="2" t="s">
        <v>302</v>
      </c>
      <c r="O27" s="12">
        <f t="shared" si="0"/>
        <v>2251</v>
      </c>
      <c r="P27" s="335"/>
      <c r="Q27" s="12">
        <f>Q28-Q29</f>
        <v>2251</v>
      </c>
      <c r="R27" s="306"/>
      <c r="S27" s="173"/>
      <c r="T27" s="406">
        <f>T28-T29</f>
        <v>6839.0504</v>
      </c>
      <c r="U27" s="179"/>
      <c r="V27" s="187">
        <f>V28-V29</f>
        <v>6839.0504</v>
      </c>
      <c r="X27" s="165">
        <f>+V27/Q27</f>
        <v>3.038227632163483</v>
      </c>
    </row>
    <row r="28" spans="1:22" ht="12.75">
      <c r="A28" s="2"/>
      <c r="B28" s="425" t="s">
        <v>1338</v>
      </c>
      <c r="C28" s="436">
        <f>+Ulaz!D19</f>
        <v>10649</v>
      </c>
      <c r="D28" s="430"/>
      <c r="E28" s="436">
        <f>+Ulaz!H19</f>
        <v>9044</v>
      </c>
      <c r="F28" s="431"/>
      <c r="G28" s="436">
        <f>+Ulaz!L19</f>
        <v>6521</v>
      </c>
      <c r="H28" s="431"/>
      <c r="I28" s="436">
        <f>+Ulaz!P19</f>
        <v>3057</v>
      </c>
      <c r="J28" s="431"/>
      <c r="K28" s="436">
        <f>+Ulaz!T19</f>
        <v>2037</v>
      </c>
      <c r="L28" s="431"/>
      <c r="M28" s="414"/>
      <c r="N28" s="3" t="s">
        <v>1338</v>
      </c>
      <c r="O28" s="12">
        <f t="shared" si="0"/>
        <v>10649</v>
      </c>
      <c r="P28" s="336"/>
      <c r="Q28" s="12">
        <f>O28+P28</f>
        <v>10649</v>
      </c>
      <c r="R28" s="306"/>
      <c r="S28" s="173"/>
      <c r="T28" s="408">
        <f>6839.0504+O29</f>
        <v>15237.0504</v>
      </c>
      <c r="U28" s="182"/>
      <c r="V28" s="190">
        <f>+T28</f>
        <v>15237.0504</v>
      </c>
    </row>
    <row r="29" spans="1:22" ht="12.75">
      <c r="A29" s="2"/>
      <c r="B29" s="428" t="s">
        <v>1339</v>
      </c>
      <c r="C29" s="436">
        <f>+Ulaz!E19</f>
        <v>8398</v>
      </c>
      <c r="D29" s="430"/>
      <c r="E29" s="436">
        <f>+Ulaz!I19</f>
        <v>7098</v>
      </c>
      <c r="F29" s="431"/>
      <c r="G29" s="436">
        <f>+Ulaz!M19</f>
        <v>4933</v>
      </c>
      <c r="H29" s="431"/>
      <c r="I29" s="436">
        <f>+Ulaz!Q19</f>
        <v>2225</v>
      </c>
      <c r="J29" s="431"/>
      <c r="K29" s="436">
        <f>+Ulaz!U19</f>
        <v>1424</v>
      </c>
      <c r="L29" s="431"/>
      <c r="M29" s="414"/>
      <c r="N29" s="305" t="s">
        <v>1339</v>
      </c>
      <c r="O29" s="12">
        <f t="shared" si="0"/>
        <v>8398</v>
      </c>
      <c r="P29" s="336"/>
      <c r="Q29" s="12">
        <f>O29+P29</f>
        <v>8398</v>
      </c>
      <c r="R29" s="306"/>
      <c r="S29" s="173"/>
      <c r="T29" s="408">
        <f>+O29</f>
        <v>8398</v>
      </c>
      <c r="U29" s="182"/>
      <c r="V29" s="190">
        <f>+T29</f>
        <v>8398</v>
      </c>
    </row>
    <row r="30" spans="1:24" ht="12.75">
      <c r="A30" s="2"/>
      <c r="B30" s="432" t="s">
        <v>303</v>
      </c>
      <c r="C30" s="429">
        <f>+C31-C32</f>
        <v>17308</v>
      </c>
      <c r="D30" s="433"/>
      <c r="E30" s="429">
        <f>+E31-E32</f>
        <v>12306</v>
      </c>
      <c r="F30" s="434"/>
      <c r="G30" s="429">
        <f>+G31-G32</f>
        <v>12220</v>
      </c>
      <c r="H30" s="434"/>
      <c r="I30" s="429">
        <f>+I31-I32</f>
        <v>7387</v>
      </c>
      <c r="J30" s="434"/>
      <c r="K30" s="429">
        <f>+K31-K32</f>
        <v>6406</v>
      </c>
      <c r="L30" s="435"/>
      <c r="M30" s="414"/>
      <c r="N30" s="307" t="s">
        <v>303</v>
      </c>
      <c r="O30" s="12">
        <f t="shared" si="0"/>
        <v>17308</v>
      </c>
      <c r="P30" s="335"/>
      <c r="Q30" s="12">
        <f>+Q31-Q32</f>
        <v>17308</v>
      </c>
      <c r="R30" s="308"/>
      <c r="S30" s="173"/>
      <c r="T30" s="406">
        <f>T31-T32</f>
        <v>10742.928350000002</v>
      </c>
      <c r="U30" s="179"/>
      <c r="V30" s="187">
        <f>V31-V32</f>
        <v>10742.928350000002</v>
      </c>
      <c r="X30" s="165">
        <f>+V30/Q30</f>
        <v>0.620691492373469</v>
      </c>
    </row>
    <row r="31" spans="1:22" ht="12.75">
      <c r="A31" s="2"/>
      <c r="B31" s="425" t="s">
        <v>1338</v>
      </c>
      <c r="C31" s="429">
        <f>+Ulaz!D20</f>
        <v>125862</v>
      </c>
      <c r="D31" s="433"/>
      <c r="E31" s="429">
        <f>+Ulaz!H20</f>
        <v>98879</v>
      </c>
      <c r="F31" s="434"/>
      <c r="G31" s="429">
        <f>+Ulaz!L20</f>
        <v>69635</v>
      </c>
      <c r="H31" s="434"/>
      <c r="I31" s="429">
        <f>+Ulaz!P20</f>
        <v>32688</v>
      </c>
      <c r="J31" s="434"/>
      <c r="K31" s="429">
        <f>+Ulaz!T20</f>
        <v>21778</v>
      </c>
      <c r="L31" s="435"/>
      <c r="M31" s="414"/>
      <c r="N31" s="3" t="s">
        <v>1338</v>
      </c>
      <c r="O31" s="12">
        <f t="shared" si="0"/>
        <v>125862</v>
      </c>
      <c r="P31" s="309"/>
      <c r="Q31" s="12">
        <f aca="true" t="shared" si="10" ref="Q31:Q36">O31+P31</f>
        <v>125862</v>
      </c>
      <c r="R31" s="308"/>
      <c r="S31" s="179"/>
      <c r="T31" s="407">
        <f>+O32+10742.92835</f>
        <v>119296.92835</v>
      </c>
      <c r="U31" s="180"/>
      <c r="V31" s="188">
        <f>+T31</f>
        <v>119296.92835</v>
      </c>
    </row>
    <row r="32" spans="1:22" ht="12.75">
      <c r="A32" s="2"/>
      <c r="B32" s="428" t="s">
        <v>1339</v>
      </c>
      <c r="C32" s="429">
        <f>+Ulaz!E20</f>
        <v>108554</v>
      </c>
      <c r="D32" s="433"/>
      <c r="E32" s="429">
        <f>+Ulaz!I20</f>
        <v>86573</v>
      </c>
      <c r="F32" s="434"/>
      <c r="G32" s="429">
        <f>+Ulaz!M20</f>
        <v>57415</v>
      </c>
      <c r="H32" s="434"/>
      <c r="I32" s="429">
        <f>+Ulaz!Q20</f>
        <v>25301</v>
      </c>
      <c r="J32" s="434"/>
      <c r="K32" s="429">
        <f>+Ulaz!U20</f>
        <v>15372</v>
      </c>
      <c r="L32" s="435"/>
      <c r="M32" s="414"/>
      <c r="N32" s="305" t="s">
        <v>1339</v>
      </c>
      <c r="O32" s="12">
        <f t="shared" si="0"/>
        <v>108554</v>
      </c>
      <c r="P32" s="309"/>
      <c r="Q32" s="12">
        <f t="shared" si="10"/>
        <v>108554</v>
      </c>
      <c r="R32" s="308"/>
      <c r="S32" s="191"/>
      <c r="T32" s="407">
        <f>+O32</f>
        <v>108554</v>
      </c>
      <c r="U32" s="180"/>
      <c r="V32" s="188">
        <f>+T32</f>
        <v>108554</v>
      </c>
    </row>
    <row r="33" spans="1:24" ht="12.75">
      <c r="A33" s="2"/>
      <c r="B33" s="428" t="s">
        <v>307</v>
      </c>
      <c r="C33" s="429">
        <f>+Ulaz!F18</f>
        <v>19472</v>
      </c>
      <c r="D33" s="433"/>
      <c r="E33" s="429">
        <f>+Ulaz!J18</f>
        <v>17051</v>
      </c>
      <c r="F33" s="434"/>
      <c r="G33" s="429">
        <f>+Ulaz!N18</f>
        <v>12293</v>
      </c>
      <c r="H33" s="434"/>
      <c r="I33" s="429">
        <f>+Ulaz!R18</f>
        <v>5763</v>
      </c>
      <c r="J33" s="434"/>
      <c r="K33" s="429">
        <f>+Ulaz!V18</f>
        <v>3840</v>
      </c>
      <c r="L33" s="435"/>
      <c r="M33" s="414"/>
      <c r="N33" s="305" t="s">
        <v>307</v>
      </c>
      <c r="O33" s="12">
        <f t="shared" si="0"/>
        <v>19472</v>
      </c>
      <c r="P33" s="310"/>
      <c r="Q33" s="12">
        <f t="shared" si="10"/>
        <v>19472</v>
      </c>
      <c r="R33" s="308"/>
      <c r="S33" s="173"/>
      <c r="T33" s="407"/>
      <c r="U33" s="180"/>
      <c r="V33" s="188">
        <f>+T33</f>
        <v>0</v>
      </c>
      <c r="X33" s="165">
        <f>+V33/Q33</f>
        <v>0</v>
      </c>
    </row>
    <row r="34" spans="1:24" ht="12.75">
      <c r="A34" s="2"/>
      <c r="B34" s="428" t="s">
        <v>1299</v>
      </c>
      <c r="C34" s="429">
        <f>+Ulaz!F22+Ulaz!F23+Ulaz!F21</f>
        <v>0</v>
      </c>
      <c r="D34" s="433"/>
      <c r="E34" s="429">
        <f>+Ulaz!J22+Ulaz!J23+Ulaz!J21</f>
        <v>0</v>
      </c>
      <c r="F34" s="434"/>
      <c r="G34" s="429">
        <f>+Ulaz!N22+Ulaz!N23+Ulaz!N21</f>
        <v>0</v>
      </c>
      <c r="H34" s="434"/>
      <c r="I34" s="429">
        <f>+Ulaz!R22+Ulaz!R23+Ulaz!R21</f>
        <v>0</v>
      </c>
      <c r="J34" s="434"/>
      <c r="K34" s="429">
        <f>+Ulaz!V22+Ulaz!V23+Ulaz!V21</f>
        <v>0</v>
      </c>
      <c r="L34" s="435"/>
      <c r="M34" s="414"/>
      <c r="N34" s="305" t="s">
        <v>13</v>
      </c>
      <c r="O34" s="12">
        <f>C34</f>
        <v>0</v>
      </c>
      <c r="P34" s="310"/>
      <c r="Q34" s="12">
        <f t="shared" si="10"/>
        <v>0</v>
      </c>
      <c r="R34" s="308"/>
      <c r="S34" s="173"/>
      <c r="T34" s="407"/>
      <c r="U34" s="180"/>
      <c r="V34" s="188"/>
      <c r="X34" s="165" t="e">
        <f>+V34/Q34</f>
        <v>#DIV/0!</v>
      </c>
    </row>
    <row r="35" spans="1:24" ht="12.75">
      <c r="A35" s="2"/>
      <c r="B35" s="428" t="s">
        <v>325</v>
      </c>
      <c r="C35" s="429">
        <f>+Ulaz!F24</f>
        <v>0</v>
      </c>
      <c r="D35" s="433"/>
      <c r="E35" s="429">
        <f>+Ulaz!J24</f>
        <v>0</v>
      </c>
      <c r="F35" s="434"/>
      <c r="G35" s="429">
        <f>+Ulaz!N24</f>
        <v>922</v>
      </c>
      <c r="H35" s="434"/>
      <c r="I35" s="429">
        <f>+Ulaz!R24</f>
        <v>432</v>
      </c>
      <c r="J35" s="434"/>
      <c r="K35" s="429">
        <f>+Ulaz!V24</f>
        <v>0</v>
      </c>
      <c r="L35" s="435"/>
      <c r="M35" s="414"/>
      <c r="N35" s="305" t="s">
        <v>325</v>
      </c>
      <c r="O35" s="12">
        <f>C35</f>
        <v>0</v>
      </c>
      <c r="P35" s="337"/>
      <c r="Q35" s="12">
        <f t="shared" si="10"/>
        <v>0</v>
      </c>
      <c r="R35" s="308"/>
      <c r="S35" s="173"/>
      <c r="T35" s="407">
        <v>0</v>
      </c>
      <c r="U35" s="180"/>
      <c r="V35" s="188">
        <v>0</v>
      </c>
      <c r="X35" s="165" t="e">
        <f>+V35/Q35</f>
        <v>#DIV/0!</v>
      </c>
    </row>
    <row r="36" spans="1:24" ht="12.75">
      <c r="A36" s="2"/>
      <c r="B36" s="418" t="s">
        <v>1198</v>
      </c>
      <c r="C36" s="424">
        <f>+Ulaz!F25</f>
        <v>7193</v>
      </c>
      <c r="D36" s="422">
        <f>C36/$C$40</f>
        <v>0.10719661405940299</v>
      </c>
      <c r="E36" s="424">
        <f>+Ulaz!J25</f>
        <v>6438</v>
      </c>
      <c r="F36" s="423">
        <f>E36/$E$40</f>
        <v>0.12861595013584784</v>
      </c>
      <c r="G36" s="424">
        <f>+Ulaz!N25</f>
        <v>4640</v>
      </c>
      <c r="H36" s="423">
        <f>G36/$G$40</f>
        <v>0.11489414386529652</v>
      </c>
      <c r="I36" s="424">
        <f>+Ulaz!R25</f>
        <v>1763</v>
      </c>
      <c r="J36" s="423">
        <f>I36/$I$40</f>
        <v>0.08180594867987565</v>
      </c>
      <c r="K36" s="424">
        <f>+Ulaz!V25</f>
        <v>296</v>
      </c>
      <c r="L36" s="421">
        <f>K36/$K$40</f>
        <v>0.018898039966800742</v>
      </c>
      <c r="M36" s="414"/>
      <c r="N36" s="2" t="s">
        <v>314</v>
      </c>
      <c r="O36" s="12">
        <f t="shared" si="0"/>
        <v>7193</v>
      </c>
      <c r="P36" s="338"/>
      <c r="Q36" s="12">
        <f t="shared" si="10"/>
        <v>7193</v>
      </c>
      <c r="R36" s="11">
        <f>Q36/$C$40</f>
        <v>0.10719661405940299</v>
      </c>
      <c r="S36" s="192"/>
      <c r="T36" s="406">
        <f>+Q36*0.75</f>
        <v>5394.75</v>
      </c>
      <c r="U36" s="178"/>
      <c r="V36" s="186">
        <f>+T36</f>
        <v>5394.75</v>
      </c>
      <c r="X36" s="165">
        <f>+V36/Q36</f>
        <v>0.75</v>
      </c>
    </row>
    <row r="37" spans="1:22" ht="12.75">
      <c r="A37" s="2"/>
      <c r="B37" s="418" t="s">
        <v>1303</v>
      </c>
      <c r="C37" s="424">
        <f>+Ulaz!F9</f>
        <v>0</v>
      </c>
      <c r="D37" s="422"/>
      <c r="E37" s="424">
        <f>+Ulaz!J9</f>
        <v>0</v>
      </c>
      <c r="F37" s="423"/>
      <c r="G37" s="424">
        <f>+Ulaz!N9</f>
        <v>0</v>
      </c>
      <c r="H37" s="423"/>
      <c r="I37" s="424">
        <f>+Ulaz!R9</f>
        <v>0</v>
      </c>
      <c r="J37" s="423"/>
      <c r="K37" s="424">
        <f>+Ulaz!V9</f>
        <v>0</v>
      </c>
      <c r="L37" s="421"/>
      <c r="M37" s="414"/>
      <c r="N37" s="2"/>
      <c r="O37" s="12"/>
      <c r="P37" s="338"/>
      <c r="Q37" s="12"/>
      <c r="R37" s="11"/>
      <c r="S37" s="192"/>
      <c r="T37" s="406"/>
      <c r="U37" s="178"/>
      <c r="V37" s="186"/>
    </row>
    <row r="38" spans="1:22" ht="12.75">
      <c r="A38" s="2"/>
      <c r="B38" s="419" t="s">
        <v>1333</v>
      </c>
      <c r="C38" s="417">
        <f>+C20+C7+C37</f>
        <v>67101</v>
      </c>
      <c r="D38" s="417">
        <f aca="true" t="shared" si="11" ref="D38:L38">+D20+D7+D37</f>
        <v>1</v>
      </c>
      <c r="E38" s="417">
        <f>+E20+E7+E37</f>
        <v>50056</v>
      </c>
      <c r="F38" s="417">
        <f t="shared" si="11"/>
        <v>1</v>
      </c>
      <c r="G38" s="417">
        <f>+G20+G7+G37</f>
        <v>40198</v>
      </c>
      <c r="H38" s="417">
        <f t="shared" si="11"/>
        <v>0.995369567908877</v>
      </c>
      <c r="I38" s="417">
        <f>+I20+I7+I37</f>
        <v>21428</v>
      </c>
      <c r="J38" s="417">
        <f t="shared" si="11"/>
        <v>0.9942926082316366</v>
      </c>
      <c r="K38" s="417">
        <f>+K20+K7+K37</f>
        <v>15579</v>
      </c>
      <c r="L38" s="417">
        <f t="shared" si="11"/>
        <v>0.994637042712124</v>
      </c>
      <c r="M38" s="414"/>
      <c r="N38" s="8" t="s">
        <v>1333</v>
      </c>
      <c r="O38" s="303">
        <f t="shared" si="0"/>
        <v>67101</v>
      </c>
      <c r="P38" s="114">
        <f>+P20+P7</f>
        <v>0</v>
      </c>
      <c r="Q38" s="303">
        <f>+Q20+Q7</f>
        <v>67101</v>
      </c>
      <c r="R38" s="9">
        <f>Q38/$C$40</f>
        <v>1</v>
      </c>
      <c r="S38" s="173"/>
      <c r="T38" s="405">
        <f>+T20+T7</f>
        <v>40981.42875000001</v>
      </c>
      <c r="U38" s="175"/>
      <c r="V38" s="185">
        <f>+V20+V7</f>
        <v>40981.42875000001</v>
      </c>
    </row>
    <row r="39" spans="1:22" ht="12.75">
      <c r="A39" s="2"/>
      <c r="B39" s="419" t="s">
        <v>1340</v>
      </c>
      <c r="C39" s="417">
        <f>+Ulaz!F62</f>
        <v>0</v>
      </c>
      <c r="D39" s="420">
        <f>C39/$C$40</f>
        <v>0</v>
      </c>
      <c r="E39" s="417">
        <f>+Ulaz!J62</f>
        <v>0</v>
      </c>
      <c r="F39" s="421">
        <f>E39/$E$40</f>
        <v>0</v>
      </c>
      <c r="G39" s="417">
        <f>+Ulaz!N62</f>
        <v>187</v>
      </c>
      <c r="H39" s="421">
        <f>G39/$G$40</f>
        <v>0.004630432091122942</v>
      </c>
      <c r="I39" s="417">
        <f>+Ulaz!R62</f>
        <v>123</v>
      </c>
      <c r="J39" s="421">
        <f>I39/$I$40</f>
        <v>0.005707391768363417</v>
      </c>
      <c r="K39" s="417">
        <f>+Ulaz!V62</f>
        <v>84</v>
      </c>
      <c r="L39" s="421">
        <f>K39/$K$40</f>
        <v>0.005362957287875886</v>
      </c>
      <c r="M39" s="414"/>
      <c r="N39" s="8" t="s">
        <v>1340</v>
      </c>
      <c r="O39" s="303">
        <f t="shared" si="0"/>
        <v>0</v>
      </c>
      <c r="P39" s="339"/>
      <c r="Q39" s="303">
        <f>O39+P39</f>
        <v>0</v>
      </c>
      <c r="R39" s="9">
        <f>Q39/$C$40</f>
        <v>0</v>
      </c>
      <c r="S39" s="173"/>
      <c r="T39" s="405">
        <v>0</v>
      </c>
      <c r="U39" s="183"/>
      <c r="V39" s="193">
        <f>+T39</f>
        <v>0</v>
      </c>
    </row>
    <row r="40" spans="1:22" ht="13.5" thickBot="1">
      <c r="A40" s="2"/>
      <c r="B40" s="419" t="s">
        <v>1334</v>
      </c>
      <c r="C40" s="417">
        <f>C39+C38</f>
        <v>67101</v>
      </c>
      <c r="D40" s="420">
        <f>C40/$C$40</f>
        <v>1</v>
      </c>
      <c r="E40" s="417">
        <f>E39+E38</f>
        <v>50056</v>
      </c>
      <c r="F40" s="421">
        <f>E40/$E$40</f>
        <v>1</v>
      </c>
      <c r="G40" s="417">
        <f>G39+G38</f>
        <v>40385</v>
      </c>
      <c r="H40" s="421">
        <f>G40/$G$40</f>
        <v>1</v>
      </c>
      <c r="I40" s="417">
        <f>I39+I38</f>
        <v>21551</v>
      </c>
      <c r="J40" s="421">
        <f>I40/$I$40</f>
        <v>1</v>
      </c>
      <c r="K40" s="417">
        <f>K39+K38</f>
        <v>15663</v>
      </c>
      <c r="L40" s="421">
        <f>K40/$K$40</f>
        <v>1</v>
      </c>
      <c r="M40" s="414"/>
      <c r="N40" s="8" t="s">
        <v>1334</v>
      </c>
      <c r="O40" s="5">
        <f t="shared" si="0"/>
        <v>67101</v>
      </c>
      <c r="P40" s="79">
        <f>P39+P38</f>
        <v>0</v>
      </c>
      <c r="Q40" s="5">
        <f>Q39+Q38</f>
        <v>67101</v>
      </c>
      <c r="R40" s="311">
        <f>Q40/$C$40</f>
        <v>1</v>
      </c>
      <c r="S40" s="195"/>
      <c r="T40" s="409">
        <f>T39+T38</f>
        <v>40981.42875000001</v>
      </c>
      <c r="U40" s="194"/>
      <c r="V40" s="196">
        <f>V39+V38</f>
        <v>40981.42875000001</v>
      </c>
    </row>
    <row r="41" spans="1:18" ht="13.5" thickTop="1">
      <c r="A41" s="2"/>
      <c r="B41" s="2"/>
      <c r="C41" s="149"/>
      <c r="D41" s="2"/>
      <c r="E41" s="2"/>
      <c r="F41" s="2"/>
      <c r="G41" s="2"/>
      <c r="H41" s="2"/>
      <c r="I41" s="2"/>
      <c r="J41" s="2"/>
      <c r="K41" s="2"/>
      <c r="L41" s="2"/>
      <c r="M41" s="414"/>
      <c r="N41" s="2"/>
      <c r="O41" s="2"/>
      <c r="Q41" s="2"/>
      <c r="R41" s="2"/>
    </row>
    <row r="42" spans="1:1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414"/>
      <c r="N42" s="2"/>
      <c r="O42" s="2"/>
      <c r="Q42" s="2"/>
      <c r="R42" s="2"/>
    </row>
    <row r="43" spans="1:18" ht="12.75">
      <c r="A43" s="2"/>
      <c r="B43" s="1" t="s">
        <v>15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414"/>
      <c r="N43" s="2"/>
      <c r="O43" s="2"/>
      <c r="Q43" s="2"/>
      <c r="R43" s="2"/>
    </row>
    <row r="44" spans="1:18" ht="13.5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414"/>
      <c r="N44" s="2"/>
      <c r="O44" s="2"/>
      <c r="Q44" s="2"/>
      <c r="R44" s="2"/>
    </row>
    <row r="45" spans="1:22" ht="13.5" thickTop="1">
      <c r="A45" s="2"/>
      <c r="B45" s="416" t="s">
        <v>1327</v>
      </c>
      <c r="C45" s="986">
        <f>+C4</f>
        <v>2002</v>
      </c>
      <c r="D45" s="986"/>
      <c r="E45" s="986">
        <f>+E4</f>
        <v>2001</v>
      </c>
      <c r="F45" s="986"/>
      <c r="G45" s="986">
        <f>+G4</f>
        <v>2000</v>
      </c>
      <c r="H45" s="986"/>
      <c r="I45" s="986">
        <f>+I4</f>
        <v>1999</v>
      </c>
      <c r="J45" s="986"/>
      <c r="K45" s="986">
        <f>+K4</f>
        <v>1998</v>
      </c>
      <c r="L45" s="986"/>
      <c r="M45" s="414"/>
      <c r="N45" s="4" t="s">
        <v>1327</v>
      </c>
      <c r="O45" s="4" t="s">
        <v>317</v>
      </c>
      <c r="P45" s="331" t="s">
        <v>319</v>
      </c>
      <c r="Q45" s="987" t="s">
        <v>320</v>
      </c>
      <c r="R45" s="987"/>
      <c r="S45" s="201" t="s">
        <v>1113</v>
      </c>
      <c r="T45" s="410" t="s">
        <v>1114</v>
      </c>
      <c r="U45" s="201" t="s">
        <v>236</v>
      </c>
      <c r="V45" s="202" t="s">
        <v>1115</v>
      </c>
    </row>
    <row r="46" spans="1:22" ht="13.5" thickBot="1">
      <c r="A46" s="2"/>
      <c r="B46" s="417"/>
      <c r="C46" s="416" t="s">
        <v>277</v>
      </c>
      <c r="D46" s="416" t="s">
        <v>1328</v>
      </c>
      <c r="E46" s="416" t="s">
        <v>277</v>
      </c>
      <c r="F46" s="416" t="s">
        <v>1328</v>
      </c>
      <c r="G46" s="416" t="s">
        <v>277</v>
      </c>
      <c r="H46" s="416" t="s">
        <v>1328</v>
      </c>
      <c r="I46" s="416" t="s">
        <v>277</v>
      </c>
      <c r="J46" s="416" t="s">
        <v>1328</v>
      </c>
      <c r="K46" s="416" t="s">
        <v>277</v>
      </c>
      <c r="L46" s="416" t="s">
        <v>1328</v>
      </c>
      <c r="M46" s="414"/>
      <c r="N46" s="5"/>
      <c r="O46" s="7" t="s">
        <v>318</v>
      </c>
      <c r="P46" s="79"/>
      <c r="Q46" s="6"/>
      <c r="R46" s="6" t="s">
        <v>1328</v>
      </c>
      <c r="S46" s="199"/>
      <c r="T46" s="403"/>
      <c r="U46" s="199"/>
      <c r="V46" s="203"/>
    </row>
    <row r="47" spans="1:22" ht="13.5" thickTop="1">
      <c r="A47" s="2"/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4"/>
      <c r="N47" s="2"/>
      <c r="O47" s="2"/>
      <c r="Q47" s="2"/>
      <c r="R47" s="2"/>
      <c r="S47" s="173"/>
      <c r="T47" s="404"/>
      <c r="U47" s="173"/>
      <c r="V47" s="174"/>
    </row>
    <row r="48" spans="1:22" ht="12.75">
      <c r="A48" s="2"/>
      <c r="B48" s="419" t="s">
        <v>1341</v>
      </c>
      <c r="C48" s="417">
        <f>+Ulaz!F94</f>
        <v>17790</v>
      </c>
      <c r="D48" s="437">
        <f>C48/$C$67</f>
        <v>0.1890984077042454</v>
      </c>
      <c r="E48" s="417">
        <f>+Ulaz!J94</f>
        <v>7384</v>
      </c>
      <c r="F48" s="437">
        <f>E48/$E$67</f>
        <v>0.10966553793144419</v>
      </c>
      <c r="G48" s="417">
        <f>+Ulaz!N94</f>
        <v>4964</v>
      </c>
      <c r="H48" s="437">
        <f>G48/$G$67</f>
        <v>0.12291692460071808</v>
      </c>
      <c r="I48" s="417">
        <f>+Ulaz!R94</f>
        <v>3423</v>
      </c>
      <c r="J48" s="437">
        <f aca="true" t="shared" si="12" ref="J48:J67">I48/$I$67</f>
        <v>0.15883253677323558</v>
      </c>
      <c r="K48" s="417">
        <f>+Ulaz!V94</f>
        <v>1766</v>
      </c>
      <c r="L48" s="437">
        <f>K48/$K$67</f>
        <v>0.11274979250462874</v>
      </c>
      <c r="M48" s="414"/>
      <c r="N48" s="8" t="s">
        <v>1341</v>
      </c>
      <c r="O48" s="303">
        <f>C48</f>
        <v>17790</v>
      </c>
      <c r="P48" s="114">
        <f>P49+P55</f>
        <v>0</v>
      </c>
      <c r="Q48" s="303">
        <f>Q49+Q55</f>
        <v>17790</v>
      </c>
      <c r="R48" s="312">
        <f>Q48/$C$67</f>
        <v>0.1890984077042454</v>
      </c>
      <c r="S48" s="173"/>
      <c r="T48" s="405">
        <f>T49+T55</f>
        <v>17790</v>
      </c>
      <c r="U48" s="175"/>
      <c r="V48" s="204">
        <f>V49+V55</f>
        <v>17790</v>
      </c>
    </row>
    <row r="49" spans="1:22" ht="12.75">
      <c r="A49" s="2"/>
      <c r="B49" s="418" t="s">
        <v>1049</v>
      </c>
      <c r="C49" s="424">
        <f>+C48-C55</f>
        <v>17790</v>
      </c>
      <c r="D49" s="438">
        <f aca="true" t="shared" si="13" ref="D49:D67">C49/$C$67</f>
        <v>0.1890984077042454</v>
      </c>
      <c r="E49" s="424">
        <f>+E48-E55</f>
        <v>7384</v>
      </c>
      <c r="F49" s="438">
        <f aca="true" t="shared" si="14" ref="F49:F67">E49/$E$67</f>
        <v>0.10966553793144419</v>
      </c>
      <c r="G49" s="424">
        <f>+G48-G55</f>
        <v>4964</v>
      </c>
      <c r="H49" s="438">
        <f aca="true" t="shared" si="15" ref="H49:H67">G49/$G$67</f>
        <v>0.12291692460071808</v>
      </c>
      <c r="I49" s="424">
        <f>+I48-I55</f>
        <v>3423</v>
      </c>
      <c r="J49" s="438">
        <f t="shared" si="12"/>
        <v>0.15883253677323558</v>
      </c>
      <c r="K49" s="424">
        <f>+K48-K55</f>
        <v>1766</v>
      </c>
      <c r="L49" s="438">
        <f aca="true" t="shared" si="16" ref="L49:L67">K49/$K$67</f>
        <v>0.11274979250462874</v>
      </c>
      <c r="M49" s="414"/>
      <c r="N49" s="2" t="s">
        <v>74</v>
      </c>
      <c r="O49" s="12">
        <f aca="true" t="shared" si="17" ref="O49:O67">C49</f>
        <v>17790</v>
      </c>
      <c r="P49" s="71">
        <f>SUM(P50:P54)</f>
        <v>0</v>
      </c>
      <c r="Q49" s="12">
        <f>SUM(Q50:Q54)</f>
        <v>17790</v>
      </c>
      <c r="R49" s="313">
        <f aca="true" t="shared" si="18" ref="R49:R67">Q49/$C$67</f>
        <v>0.1890984077042454</v>
      </c>
      <c r="S49" s="173"/>
      <c r="T49" s="406">
        <f>SUM(T50:T54)</f>
        <v>17790</v>
      </c>
      <c r="U49" s="179"/>
      <c r="V49" s="205">
        <f>SUM(V50:V54)</f>
        <v>17790</v>
      </c>
    </row>
    <row r="50" spans="1:22" ht="12.75">
      <c r="A50" s="2"/>
      <c r="B50" s="418" t="s">
        <v>75</v>
      </c>
      <c r="C50" s="424">
        <f>+Ulaz!F102+Ulaz!F103</f>
        <v>0</v>
      </c>
      <c r="D50" s="438">
        <f t="shared" si="13"/>
        <v>0</v>
      </c>
      <c r="E50" s="424">
        <f>+Ulaz!J102+Ulaz!J103</f>
        <v>0</v>
      </c>
      <c r="F50" s="438">
        <f t="shared" si="14"/>
        <v>0</v>
      </c>
      <c r="G50" s="424">
        <f>+Ulaz!N105+Ulaz!N104</f>
        <v>582</v>
      </c>
      <c r="H50" s="438">
        <f t="shared" si="15"/>
        <v>0.014411291321035039</v>
      </c>
      <c r="I50" s="424">
        <f>+Ulaz!R105+Ulaz!R104</f>
        <v>650</v>
      </c>
      <c r="J50" s="438">
        <f t="shared" si="12"/>
        <v>0.030161013410050577</v>
      </c>
      <c r="K50" s="424">
        <f>+Ulaz!V105+Ulaz!V104</f>
        <v>21</v>
      </c>
      <c r="L50" s="438">
        <f t="shared" si="16"/>
        <v>0.0013407393219689715</v>
      </c>
      <c r="M50" s="414"/>
      <c r="N50" s="2" t="s">
        <v>75</v>
      </c>
      <c r="O50" s="12">
        <f t="shared" si="17"/>
        <v>0</v>
      </c>
      <c r="P50" s="333"/>
      <c r="Q50" s="12">
        <f aca="true" t="shared" si="19" ref="Q50:Q57">O50+P50</f>
        <v>0</v>
      </c>
      <c r="R50" s="313">
        <f t="shared" si="18"/>
        <v>0</v>
      </c>
      <c r="S50" s="173"/>
      <c r="T50" s="406">
        <f>+Q50</f>
        <v>0</v>
      </c>
      <c r="U50" s="178"/>
      <c r="V50" s="206">
        <f>+T50</f>
        <v>0</v>
      </c>
    </row>
    <row r="51" spans="1:22" ht="12.75">
      <c r="A51" s="2"/>
      <c r="B51" s="418" t="s">
        <v>76</v>
      </c>
      <c r="C51" s="424">
        <f>+Ulaz!F106+Ulaz!F107</f>
        <v>9762</v>
      </c>
      <c r="D51" s="438">
        <f t="shared" si="13"/>
        <v>0.10376496098981695</v>
      </c>
      <c r="E51" s="424">
        <f>+Ulaz!J106+Ulaz!J107</f>
        <v>5706</v>
      </c>
      <c r="F51" s="438">
        <f t="shared" si="14"/>
        <v>0.0847442523614329</v>
      </c>
      <c r="G51" s="424">
        <f>+Ulaz!N108+Ulaz!N109</f>
        <v>0</v>
      </c>
      <c r="H51" s="438">
        <f t="shared" si="15"/>
        <v>0</v>
      </c>
      <c r="I51" s="424">
        <f>+Ulaz!R108+Ulaz!R109</f>
        <v>0</v>
      </c>
      <c r="J51" s="438">
        <f t="shared" si="12"/>
        <v>0</v>
      </c>
      <c r="K51" s="424">
        <f>+Ulaz!V108+Ulaz!V109</f>
        <v>0</v>
      </c>
      <c r="L51" s="438">
        <f t="shared" si="16"/>
        <v>0</v>
      </c>
      <c r="M51" s="414"/>
      <c r="N51" s="2" t="s">
        <v>76</v>
      </c>
      <c r="O51" s="12">
        <f t="shared" si="17"/>
        <v>9762</v>
      </c>
      <c r="P51" s="333"/>
      <c r="Q51" s="12">
        <f t="shared" si="19"/>
        <v>9762</v>
      </c>
      <c r="R51" s="313">
        <f t="shared" si="18"/>
        <v>0.10376496098981695</v>
      </c>
      <c r="S51" s="173"/>
      <c r="T51" s="406">
        <f aca="true" t="shared" si="20" ref="T51:T57">+Q51</f>
        <v>9762</v>
      </c>
      <c r="U51" s="178"/>
      <c r="V51" s="206">
        <f aca="true" t="shared" si="21" ref="V51:V56">+T51</f>
        <v>9762</v>
      </c>
    </row>
    <row r="52" spans="1:22" ht="12.75">
      <c r="A52" s="2"/>
      <c r="B52" s="418" t="s">
        <v>1342</v>
      </c>
      <c r="C52" s="424">
        <f>+Ulaz!F110</f>
        <v>1891</v>
      </c>
      <c r="D52" s="438">
        <f t="shared" si="13"/>
        <v>0.020100342269180893</v>
      </c>
      <c r="E52" s="424">
        <f>+Ulaz!J110</f>
        <v>715</v>
      </c>
      <c r="F52" s="438">
        <f t="shared" si="14"/>
        <v>0.010619022158854631</v>
      </c>
      <c r="G52" s="424">
        <f>+Ulaz!N112</f>
        <v>86</v>
      </c>
      <c r="H52" s="438">
        <f t="shared" si="15"/>
        <v>0.0021295035285378234</v>
      </c>
      <c r="I52" s="424">
        <f>+Ulaz!R112</f>
        <v>54</v>
      </c>
      <c r="J52" s="438">
        <f t="shared" si="12"/>
        <v>0.0025056841909888174</v>
      </c>
      <c r="K52" s="424">
        <f>+Ulaz!V112</f>
        <v>29</v>
      </c>
      <c r="L52" s="438">
        <f t="shared" si="16"/>
        <v>0.001851497158909532</v>
      </c>
      <c r="M52" s="414"/>
      <c r="N52" s="2" t="s">
        <v>1342</v>
      </c>
      <c r="O52" s="12">
        <f t="shared" si="17"/>
        <v>1891</v>
      </c>
      <c r="P52" s="333"/>
      <c r="Q52" s="12">
        <f t="shared" si="19"/>
        <v>1891</v>
      </c>
      <c r="R52" s="313">
        <f t="shared" si="18"/>
        <v>0.020100342269180893</v>
      </c>
      <c r="S52" s="173"/>
      <c r="T52" s="406">
        <f t="shared" si="20"/>
        <v>1891</v>
      </c>
      <c r="U52" s="178"/>
      <c r="V52" s="206">
        <f t="shared" si="21"/>
        <v>1891</v>
      </c>
    </row>
    <row r="53" spans="1:22" ht="12.75">
      <c r="A53" s="2"/>
      <c r="B53" s="418" t="s">
        <v>77</v>
      </c>
      <c r="C53" s="424">
        <f>+C49-C50-C51-C52</f>
        <v>6137</v>
      </c>
      <c r="D53" s="438">
        <f t="shared" si="13"/>
        <v>0.06523310444524756</v>
      </c>
      <c r="E53" s="424">
        <f>+E49-E50-E51-E52</f>
        <v>963</v>
      </c>
      <c r="F53" s="438">
        <f t="shared" si="14"/>
        <v>0.014302263411156656</v>
      </c>
      <c r="G53" s="424">
        <f>+G49-G50-G51-G52</f>
        <v>4296</v>
      </c>
      <c r="H53" s="438">
        <f t="shared" si="15"/>
        <v>0.10637612975114523</v>
      </c>
      <c r="I53" s="424">
        <f>+I49-I50-I51-I52</f>
        <v>2719</v>
      </c>
      <c r="J53" s="438">
        <f t="shared" si="12"/>
        <v>0.12616583917219618</v>
      </c>
      <c r="K53" s="424">
        <f>+K49-K50-K51-K52</f>
        <v>1716</v>
      </c>
      <c r="L53" s="438">
        <f t="shared" si="16"/>
        <v>0.10955755602375024</v>
      </c>
      <c r="M53" s="414"/>
      <c r="N53" s="2" t="s">
        <v>77</v>
      </c>
      <c r="O53" s="12">
        <f t="shared" si="17"/>
        <v>6137</v>
      </c>
      <c r="P53" s="333"/>
      <c r="Q53" s="12">
        <f t="shared" si="19"/>
        <v>6137</v>
      </c>
      <c r="R53" s="313">
        <f t="shared" si="18"/>
        <v>0.06523310444524756</v>
      </c>
      <c r="S53" s="173"/>
      <c r="T53" s="412">
        <f t="shared" si="20"/>
        <v>6137</v>
      </c>
      <c r="U53" s="178"/>
      <c r="V53" s="206">
        <f t="shared" si="21"/>
        <v>6137</v>
      </c>
    </row>
    <row r="54" spans="1:22" ht="12.75">
      <c r="A54" s="2"/>
      <c r="B54" s="418" t="s">
        <v>78</v>
      </c>
      <c r="C54" s="424">
        <f>+Ulaz!F115</f>
        <v>0</v>
      </c>
      <c r="D54" s="438">
        <f t="shared" si="13"/>
        <v>0</v>
      </c>
      <c r="E54" s="424">
        <f>+Ulaz!J115</f>
        <v>0</v>
      </c>
      <c r="F54" s="438">
        <f t="shared" si="14"/>
        <v>0</v>
      </c>
      <c r="G54" s="424">
        <f>+Ulaz!N115</f>
        <v>0</v>
      </c>
      <c r="H54" s="438">
        <f t="shared" si="15"/>
        <v>0</v>
      </c>
      <c r="I54" s="424">
        <f>+Ulaz!R115</f>
        <v>0</v>
      </c>
      <c r="J54" s="438">
        <f t="shared" si="12"/>
        <v>0</v>
      </c>
      <c r="K54" s="424">
        <f>+Ulaz!V115</f>
        <v>0</v>
      </c>
      <c r="L54" s="438">
        <f t="shared" si="16"/>
        <v>0</v>
      </c>
      <c r="M54" s="414"/>
      <c r="N54" s="2" t="s">
        <v>78</v>
      </c>
      <c r="O54" s="12">
        <f t="shared" si="17"/>
        <v>0</v>
      </c>
      <c r="P54" s="333"/>
      <c r="Q54" s="12">
        <f t="shared" si="19"/>
        <v>0</v>
      </c>
      <c r="R54" s="313">
        <f t="shared" si="18"/>
        <v>0</v>
      </c>
      <c r="S54" s="173"/>
      <c r="T54" s="406">
        <f t="shared" si="20"/>
        <v>0</v>
      </c>
      <c r="U54" s="178"/>
      <c r="V54" s="206">
        <f t="shared" si="21"/>
        <v>0</v>
      </c>
    </row>
    <row r="55" spans="1:22" ht="12.75">
      <c r="A55" s="2"/>
      <c r="B55" s="418" t="s">
        <v>79</v>
      </c>
      <c r="C55" s="424">
        <f>+Ulaz!F97</f>
        <v>0</v>
      </c>
      <c r="D55" s="438">
        <f t="shared" si="13"/>
        <v>0</v>
      </c>
      <c r="E55" s="424">
        <f>+Ulaz!J97</f>
        <v>0</v>
      </c>
      <c r="F55" s="438">
        <f t="shared" si="14"/>
        <v>0</v>
      </c>
      <c r="G55" s="424">
        <f>+Ulaz!N97</f>
        <v>0</v>
      </c>
      <c r="H55" s="438">
        <f t="shared" si="15"/>
        <v>0</v>
      </c>
      <c r="I55" s="424">
        <f>+Ulaz!R97</f>
        <v>0</v>
      </c>
      <c r="J55" s="438">
        <f t="shared" si="12"/>
        <v>0</v>
      </c>
      <c r="K55" s="424">
        <f>+Ulaz!V97</f>
        <v>0</v>
      </c>
      <c r="L55" s="438">
        <f t="shared" si="16"/>
        <v>0</v>
      </c>
      <c r="M55" s="414"/>
      <c r="N55" s="2" t="s">
        <v>79</v>
      </c>
      <c r="O55" s="12">
        <f t="shared" si="17"/>
        <v>0</v>
      </c>
      <c r="P55" s="333"/>
      <c r="Q55" s="12">
        <f t="shared" si="19"/>
        <v>0</v>
      </c>
      <c r="R55" s="313">
        <f t="shared" si="18"/>
        <v>0</v>
      </c>
      <c r="S55" s="173"/>
      <c r="T55" s="406">
        <f t="shared" si="20"/>
        <v>0</v>
      </c>
      <c r="U55" s="178"/>
      <c r="V55" s="206">
        <f t="shared" si="21"/>
        <v>0</v>
      </c>
    </row>
    <row r="56" spans="1:22" ht="12.75">
      <c r="A56" s="2"/>
      <c r="B56" s="418" t="s">
        <v>80</v>
      </c>
      <c r="C56" s="424">
        <f>+Ulaz!F99</f>
        <v>4480</v>
      </c>
      <c r="D56" s="438">
        <f t="shared" si="13"/>
        <v>0.04762005995025404</v>
      </c>
      <c r="E56" s="424">
        <f>+Ulaz!J99</f>
        <v>0</v>
      </c>
      <c r="F56" s="438">
        <f t="shared" si="14"/>
        <v>0</v>
      </c>
      <c r="G56" s="424">
        <f>+Ulaz!N99</f>
        <v>0</v>
      </c>
      <c r="H56" s="438">
        <f t="shared" si="15"/>
        <v>0</v>
      </c>
      <c r="I56" s="424">
        <f>+Ulaz!R99</f>
        <v>0</v>
      </c>
      <c r="J56" s="438">
        <f t="shared" si="12"/>
        <v>0</v>
      </c>
      <c r="K56" s="424">
        <f>+Ulaz!V99</f>
        <v>0</v>
      </c>
      <c r="L56" s="438">
        <f t="shared" si="16"/>
        <v>0</v>
      </c>
      <c r="M56" s="414"/>
      <c r="N56" s="2" t="s">
        <v>80</v>
      </c>
      <c r="O56" s="12">
        <f t="shared" si="17"/>
        <v>4480</v>
      </c>
      <c r="P56" s="333"/>
      <c r="Q56" s="12">
        <f t="shared" si="19"/>
        <v>4480</v>
      </c>
      <c r="R56" s="313">
        <f t="shared" si="18"/>
        <v>0.04762005995025404</v>
      </c>
      <c r="S56" s="173"/>
      <c r="T56" s="406">
        <f t="shared" si="20"/>
        <v>4480</v>
      </c>
      <c r="U56" s="178"/>
      <c r="V56" s="206">
        <f t="shared" si="21"/>
        <v>4480</v>
      </c>
    </row>
    <row r="57" spans="1:22" ht="12.75">
      <c r="A57" s="2"/>
      <c r="B57" s="419" t="s">
        <v>81</v>
      </c>
      <c r="C57" s="417">
        <f>+Ulaz!F91</f>
        <v>0</v>
      </c>
      <c r="D57" s="437">
        <f t="shared" si="13"/>
        <v>0</v>
      </c>
      <c r="E57" s="417">
        <f>+Ulaz!J91</f>
        <v>0</v>
      </c>
      <c r="F57" s="437">
        <f t="shared" si="14"/>
        <v>0</v>
      </c>
      <c r="G57" s="417">
        <f>+Ulaz!N91</f>
        <v>0</v>
      </c>
      <c r="H57" s="437">
        <f t="shared" si="15"/>
        <v>0</v>
      </c>
      <c r="I57" s="417">
        <f>+Ulaz!R91</f>
        <v>0</v>
      </c>
      <c r="J57" s="437">
        <f t="shared" si="12"/>
        <v>0</v>
      </c>
      <c r="K57" s="417">
        <f>+Ulaz!V91</f>
        <v>0</v>
      </c>
      <c r="L57" s="437">
        <f t="shared" si="16"/>
        <v>0</v>
      </c>
      <c r="M57" s="414"/>
      <c r="N57" s="8" t="s">
        <v>81</v>
      </c>
      <c r="O57" s="303">
        <f t="shared" si="17"/>
        <v>0</v>
      </c>
      <c r="P57" s="340"/>
      <c r="Q57" s="12">
        <f t="shared" si="19"/>
        <v>0</v>
      </c>
      <c r="R57" s="312">
        <f t="shared" si="18"/>
        <v>0</v>
      </c>
      <c r="S57" s="173"/>
      <c r="T57" s="406">
        <f t="shared" si="20"/>
        <v>0</v>
      </c>
      <c r="U57" s="183"/>
      <c r="V57" s="206">
        <f>+Likvid!F22/1000</f>
        <v>3662.8777092419627</v>
      </c>
    </row>
    <row r="58" spans="1:22" ht="12.75">
      <c r="A58" s="2"/>
      <c r="B58" s="419" t="s">
        <v>1343</v>
      </c>
      <c r="C58" s="417">
        <f>+C59+C62+C63+C64</f>
        <v>76288</v>
      </c>
      <c r="D58" s="437">
        <f t="shared" si="13"/>
        <v>0.8109015922957545</v>
      </c>
      <c r="E58" s="417">
        <f>+E59+E62+E63+E64</f>
        <v>59948</v>
      </c>
      <c r="F58" s="437">
        <f t="shared" si="14"/>
        <v>0.8903344620685558</v>
      </c>
      <c r="G58" s="417">
        <f>+G59+G62+G63+G64</f>
        <v>35234</v>
      </c>
      <c r="H58" s="437">
        <f t="shared" si="15"/>
        <v>0.872452643308159</v>
      </c>
      <c r="I58" s="417">
        <f>+I59+I62+I63+I64</f>
        <v>18005</v>
      </c>
      <c r="J58" s="437">
        <f t="shared" si="12"/>
        <v>0.835460071458401</v>
      </c>
      <c r="K58" s="417">
        <f>+K59+K62+K63+K64</f>
        <v>13813</v>
      </c>
      <c r="L58" s="437">
        <f t="shared" si="16"/>
        <v>0.8818872502074954</v>
      </c>
      <c r="M58" s="414"/>
      <c r="N58" s="8" t="s">
        <v>1343</v>
      </c>
      <c r="O58" s="303">
        <f t="shared" si="17"/>
        <v>76288</v>
      </c>
      <c r="P58" s="114">
        <f>SUM(P59:P64)</f>
        <v>0</v>
      </c>
      <c r="Q58" s="303">
        <f>SUM(Q59:Q64)</f>
        <v>76288</v>
      </c>
      <c r="R58" s="312">
        <f t="shared" si="18"/>
        <v>0.8109015922957545</v>
      </c>
      <c r="S58" s="173"/>
      <c r="T58" s="405">
        <f>+T40-T48-T66</f>
        <v>23191.428750000006</v>
      </c>
      <c r="U58" s="175"/>
      <c r="V58" s="204">
        <f>+V40-V48-V66-V57</f>
        <v>19528.551040758044</v>
      </c>
    </row>
    <row r="59" spans="1:22" ht="12.75">
      <c r="A59" s="2"/>
      <c r="B59" s="418" t="s">
        <v>1344</v>
      </c>
      <c r="C59" s="424">
        <f>+C60-C61</f>
        <v>21642</v>
      </c>
      <c r="D59" s="438">
        <f t="shared" si="13"/>
        <v>0.23004315567932992</v>
      </c>
      <c r="E59" s="424">
        <f>+E60-E61</f>
        <v>25200</v>
      </c>
      <c r="F59" s="438">
        <f t="shared" si="14"/>
        <v>0.37426483692746393</v>
      </c>
      <c r="G59" s="424">
        <f>+G60-G61</f>
        <v>35234</v>
      </c>
      <c r="H59" s="438">
        <f t="shared" si="15"/>
        <v>0.872452643308159</v>
      </c>
      <c r="I59" s="424">
        <f>+I60-I61</f>
        <v>18005</v>
      </c>
      <c r="J59" s="438">
        <f t="shared" si="12"/>
        <v>0.835460071458401</v>
      </c>
      <c r="K59" s="424">
        <f>+K60-K61</f>
        <v>13813</v>
      </c>
      <c r="L59" s="438">
        <f t="shared" si="16"/>
        <v>0.8818872502074954</v>
      </c>
      <c r="M59" s="414"/>
      <c r="N59" s="2" t="s">
        <v>1344</v>
      </c>
      <c r="O59" s="12">
        <f t="shared" si="17"/>
        <v>21642</v>
      </c>
      <c r="P59" s="333"/>
      <c r="Q59" s="12">
        <f>O59+P59</f>
        <v>21642</v>
      </c>
      <c r="R59" s="313">
        <f t="shared" si="18"/>
        <v>0.23004315567932992</v>
      </c>
      <c r="S59" s="173"/>
      <c r="T59" s="406">
        <f>+T40-T48-T66</f>
        <v>23191.428750000006</v>
      </c>
      <c r="U59" s="178"/>
      <c r="V59" s="206">
        <f>+V40-V48-V66-V57</f>
        <v>19528.551040758044</v>
      </c>
    </row>
    <row r="60" spans="1:22" ht="12.75">
      <c r="A60" s="2"/>
      <c r="B60" s="418" t="s">
        <v>1047</v>
      </c>
      <c r="C60" s="424">
        <f>+Ulaz!F72</f>
        <v>50252</v>
      </c>
      <c r="D60" s="438"/>
      <c r="E60" s="424">
        <f>+Ulaz!J72</f>
        <v>50252</v>
      </c>
      <c r="F60" s="438"/>
      <c r="G60" s="424">
        <f>+Ulaz!N72</f>
        <v>50252</v>
      </c>
      <c r="H60" s="438"/>
      <c r="I60" s="424">
        <f>+Ulaz!R72</f>
        <v>23560</v>
      </c>
      <c r="J60" s="438"/>
      <c r="K60" s="424">
        <f>+Ulaz!V72</f>
        <v>15696</v>
      </c>
      <c r="L60" s="438"/>
      <c r="M60" s="414"/>
      <c r="N60" s="2"/>
      <c r="O60" s="12"/>
      <c r="P60" s="333"/>
      <c r="Q60" s="12"/>
      <c r="R60" s="313"/>
      <c r="S60" s="173"/>
      <c r="T60" s="406"/>
      <c r="U60" s="178"/>
      <c r="V60" s="206"/>
    </row>
    <row r="61" spans="1:22" ht="12.75">
      <c r="A61" s="2"/>
      <c r="B61" s="418" t="s">
        <v>1048</v>
      </c>
      <c r="C61" s="424">
        <f>+Ulaz!F58</f>
        <v>28610</v>
      </c>
      <c r="D61" s="438"/>
      <c r="E61" s="424">
        <f>+Ulaz!J58</f>
        <v>25052</v>
      </c>
      <c r="F61" s="438"/>
      <c r="G61" s="424">
        <f>+Ulaz!N58</f>
        <v>15018</v>
      </c>
      <c r="H61" s="438"/>
      <c r="I61" s="424">
        <f>+Ulaz!R58</f>
        <v>5555</v>
      </c>
      <c r="J61" s="438"/>
      <c r="K61" s="424">
        <f>+Ulaz!V58</f>
        <v>1883</v>
      </c>
      <c r="L61" s="438"/>
      <c r="M61" s="414"/>
      <c r="N61" s="2"/>
      <c r="O61" s="12"/>
      <c r="P61" s="333"/>
      <c r="Q61" s="12"/>
      <c r="R61" s="313"/>
      <c r="S61" s="173"/>
      <c r="T61" s="406"/>
      <c r="U61" s="178"/>
      <c r="V61" s="206"/>
    </row>
    <row r="62" spans="1:22" ht="12.75">
      <c r="A62" s="2"/>
      <c r="B62" s="418" t="s">
        <v>1345</v>
      </c>
      <c r="C62" s="424">
        <f>+Ulaz!F83</f>
        <v>0</v>
      </c>
      <c r="D62" s="438">
        <f t="shared" si="13"/>
        <v>0</v>
      </c>
      <c r="E62" s="424">
        <f>+Ulaz!J83</f>
        <v>0</v>
      </c>
      <c r="F62" s="438">
        <f t="shared" si="14"/>
        <v>0</v>
      </c>
      <c r="G62" s="424">
        <f>+Ulaz!N83</f>
        <v>0</v>
      </c>
      <c r="H62" s="438">
        <f t="shared" si="15"/>
        <v>0</v>
      </c>
      <c r="I62" s="424">
        <f>+Ulaz!R83</f>
        <v>0</v>
      </c>
      <c r="J62" s="438">
        <f t="shared" si="12"/>
        <v>0</v>
      </c>
      <c r="K62" s="424">
        <f>+Ulaz!V83</f>
        <v>0</v>
      </c>
      <c r="L62" s="438">
        <f t="shared" si="16"/>
        <v>0</v>
      </c>
      <c r="M62" s="414"/>
      <c r="N62" s="2" t="s">
        <v>1345</v>
      </c>
      <c r="O62" s="12">
        <f t="shared" si="17"/>
        <v>0</v>
      </c>
      <c r="P62" s="333"/>
      <c r="Q62" s="12">
        <f>O62+P62</f>
        <v>0</v>
      </c>
      <c r="R62" s="313">
        <f t="shared" si="18"/>
        <v>0</v>
      </c>
      <c r="S62" s="173"/>
      <c r="T62" s="406">
        <v>0</v>
      </c>
      <c r="U62" s="178"/>
      <c r="V62" s="206">
        <v>0</v>
      </c>
    </row>
    <row r="63" spans="1:22" ht="12.75">
      <c r="A63" s="2"/>
      <c r="B63" s="418" t="s">
        <v>1346</v>
      </c>
      <c r="C63" s="424">
        <f>+Ulaz!F85</f>
        <v>27669</v>
      </c>
      <c r="D63" s="438">
        <f t="shared" si="13"/>
        <v>0.29410701758115604</v>
      </c>
      <c r="E63" s="424">
        <f>+Ulaz!J85</f>
        <v>17374</v>
      </c>
      <c r="F63" s="438">
        <f t="shared" si="14"/>
        <v>0.25803481257054595</v>
      </c>
      <c r="G63" s="424">
        <f>+Ulaz!N87</f>
        <v>0</v>
      </c>
      <c r="H63" s="438">
        <f t="shared" si="15"/>
        <v>0</v>
      </c>
      <c r="I63" s="424">
        <f>+Ulaz!R87</f>
        <v>0</v>
      </c>
      <c r="J63" s="438">
        <f t="shared" si="12"/>
        <v>0</v>
      </c>
      <c r="K63" s="424">
        <f>+Ulaz!V87</f>
        <v>0</v>
      </c>
      <c r="L63" s="438">
        <f t="shared" si="16"/>
        <v>0</v>
      </c>
      <c r="M63" s="414"/>
      <c r="N63" s="2" t="s">
        <v>1346</v>
      </c>
      <c r="O63" s="12">
        <f t="shared" si="17"/>
        <v>27669</v>
      </c>
      <c r="P63" s="333"/>
      <c r="Q63" s="12">
        <f>O63+P63</f>
        <v>27669</v>
      </c>
      <c r="R63" s="313">
        <f t="shared" si="18"/>
        <v>0.29410701758115604</v>
      </c>
      <c r="S63" s="173"/>
      <c r="T63" s="406">
        <v>0</v>
      </c>
      <c r="U63" s="178"/>
      <c r="V63" s="206">
        <v>0</v>
      </c>
    </row>
    <row r="64" spans="1:22" ht="12.75">
      <c r="A64" s="2"/>
      <c r="B64" s="418" t="s">
        <v>345</v>
      </c>
      <c r="C64" s="424">
        <f>+Ulaz!F88</f>
        <v>26977</v>
      </c>
      <c r="D64" s="438">
        <f t="shared" si="13"/>
        <v>0.28675141903526863</v>
      </c>
      <c r="E64" s="424">
        <f>+Ulaz!J88</f>
        <v>17374</v>
      </c>
      <c r="F64" s="438">
        <f t="shared" si="14"/>
        <v>0.25803481257054595</v>
      </c>
      <c r="G64" s="424">
        <f>+Ulaz!N88</f>
        <v>0</v>
      </c>
      <c r="H64" s="438">
        <f t="shared" si="15"/>
        <v>0</v>
      </c>
      <c r="I64" s="424">
        <f>+Ulaz!R88</f>
        <v>0</v>
      </c>
      <c r="J64" s="438">
        <f t="shared" si="12"/>
        <v>0</v>
      </c>
      <c r="K64" s="424">
        <f>+Ulaz!V88</f>
        <v>0</v>
      </c>
      <c r="L64" s="438">
        <f t="shared" si="16"/>
        <v>0</v>
      </c>
      <c r="M64" s="414"/>
      <c r="N64" s="2" t="s">
        <v>345</v>
      </c>
      <c r="O64" s="12">
        <f t="shared" si="17"/>
        <v>26977</v>
      </c>
      <c r="P64" s="333"/>
      <c r="Q64" s="12">
        <f>O64+P64</f>
        <v>26977</v>
      </c>
      <c r="R64" s="313">
        <f t="shared" si="18"/>
        <v>0.28675141903526863</v>
      </c>
      <c r="S64" s="173"/>
      <c r="T64" s="406">
        <v>0</v>
      </c>
      <c r="U64" s="178"/>
      <c r="V64" s="206">
        <v>0</v>
      </c>
    </row>
    <row r="65" spans="1:22" ht="12.75">
      <c r="A65" s="2"/>
      <c r="B65" s="419" t="s">
        <v>1347</v>
      </c>
      <c r="C65" s="417">
        <f>C58+C57+C48</f>
        <v>94078</v>
      </c>
      <c r="D65" s="437">
        <f t="shared" si="13"/>
        <v>1</v>
      </c>
      <c r="E65" s="417">
        <f>E58+E57+E48</f>
        <v>67332</v>
      </c>
      <c r="F65" s="437">
        <f t="shared" si="14"/>
        <v>1</v>
      </c>
      <c r="G65" s="417">
        <f>G58+G57+G48</f>
        <v>40198</v>
      </c>
      <c r="H65" s="437">
        <f t="shared" si="15"/>
        <v>0.9953695679088771</v>
      </c>
      <c r="I65" s="417">
        <f>I58+I57+I48</f>
        <v>21428</v>
      </c>
      <c r="J65" s="437">
        <f t="shared" si="12"/>
        <v>0.9942926082316366</v>
      </c>
      <c r="K65" s="417">
        <f>K58+K57+K48</f>
        <v>15579</v>
      </c>
      <c r="L65" s="437">
        <f t="shared" si="16"/>
        <v>0.9946370427121242</v>
      </c>
      <c r="M65" s="414"/>
      <c r="N65" s="8" t="s">
        <v>1347</v>
      </c>
      <c r="O65" s="303">
        <f t="shared" si="17"/>
        <v>94078</v>
      </c>
      <c r="P65" s="114">
        <f>P58+P57+P48</f>
        <v>0</v>
      </c>
      <c r="Q65" s="303">
        <f>Q58+Q57+Q48</f>
        <v>94078</v>
      </c>
      <c r="R65" s="312">
        <f t="shared" si="18"/>
        <v>1</v>
      </c>
      <c r="S65" s="173"/>
      <c r="T65" s="405">
        <f>T58+T57+T48</f>
        <v>40981.42875000001</v>
      </c>
      <c r="U65" s="175"/>
      <c r="V65" s="204">
        <f>V58+V57+V48</f>
        <v>40981.42875000001</v>
      </c>
    </row>
    <row r="66" spans="1:22" ht="12.75">
      <c r="A66" s="2"/>
      <c r="B66" s="419" t="s">
        <v>1348</v>
      </c>
      <c r="C66" s="417">
        <f>+Ulaz!F117</f>
        <v>0</v>
      </c>
      <c r="D66" s="437">
        <f t="shared" si="13"/>
        <v>0</v>
      </c>
      <c r="E66" s="417">
        <f>+Ulaz!J117</f>
        <v>0</v>
      </c>
      <c r="F66" s="437">
        <f t="shared" si="14"/>
        <v>0</v>
      </c>
      <c r="G66" s="417">
        <f>+Ulaz!N117</f>
        <v>187</v>
      </c>
      <c r="H66" s="437">
        <f t="shared" si="15"/>
        <v>0.004630432091122942</v>
      </c>
      <c r="I66" s="417">
        <f>+Ulaz!R117</f>
        <v>123</v>
      </c>
      <c r="J66" s="437">
        <f t="shared" si="12"/>
        <v>0.005707391768363417</v>
      </c>
      <c r="K66" s="417">
        <f>+Ulaz!V117</f>
        <v>84</v>
      </c>
      <c r="L66" s="437">
        <f t="shared" si="16"/>
        <v>0.005362957287875886</v>
      </c>
      <c r="M66" s="414"/>
      <c r="N66" s="8" t="s">
        <v>1348</v>
      </c>
      <c r="O66" s="303">
        <f t="shared" si="17"/>
        <v>0</v>
      </c>
      <c r="P66" s="340"/>
      <c r="Q66" s="303">
        <f>O66+P66</f>
        <v>0</v>
      </c>
      <c r="R66" s="312">
        <f t="shared" si="18"/>
        <v>0</v>
      </c>
      <c r="S66" s="173"/>
      <c r="T66" s="405">
        <v>0</v>
      </c>
      <c r="U66" s="183"/>
      <c r="V66" s="207">
        <f>+T66</f>
        <v>0</v>
      </c>
    </row>
    <row r="67" spans="1:22" ht="13.5" thickBot="1">
      <c r="A67" s="2"/>
      <c r="B67" s="439" t="s">
        <v>1349</v>
      </c>
      <c r="C67" s="417">
        <f>C66+C65</f>
        <v>94078</v>
      </c>
      <c r="D67" s="437">
        <f t="shared" si="13"/>
        <v>1</v>
      </c>
      <c r="E67" s="417">
        <f>E66+E65</f>
        <v>67332</v>
      </c>
      <c r="F67" s="437">
        <f t="shared" si="14"/>
        <v>1</v>
      </c>
      <c r="G67" s="417">
        <f>G66+G65</f>
        <v>40385</v>
      </c>
      <c r="H67" s="437">
        <f t="shared" si="15"/>
        <v>1</v>
      </c>
      <c r="I67" s="417">
        <f>I66+I65</f>
        <v>21551</v>
      </c>
      <c r="J67" s="437">
        <f t="shared" si="12"/>
        <v>1</v>
      </c>
      <c r="K67" s="417">
        <f>K66+K65</f>
        <v>15663</v>
      </c>
      <c r="L67" s="437">
        <f t="shared" si="16"/>
        <v>1</v>
      </c>
      <c r="M67" s="414"/>
      <c r="N67" s="314" t="s">
        <v>1349</v>
      </c>
      <c r="O67" s="5">
        <f t="shared" si="17"/>
        <v>94078</v>
      </c>
      <c r="P67" s="79">
        <f>P66+P65</f>
        <v>0</v>
      </c>
      <c r="Q67" s="5">
        <f>Q66+Q65</f>
        <v>94078</v>
      </c>
      <c r="R67" s="315">
        <f t="shared" si="18"/>
        <v>1</v>
      </c>
      <c r="S67" s="208"/>
      <c r="T67" s="411">
        <f>+T40</f>
        <v>40981.42875000001</v>
      </c>
      <c r="U67" s="176"/>
      <c r="V67" s="209">
        <f>+V40</f>
        <v>40981.42875000001</v>
      </c>
    </row>
    <row r="68" spans="1:18" ht="13.5" thickTop="1">
      <c r="A68" s="2"/>
      <c r="B68" s="316"/>
      <c r="C68" s="18"/>
      <c r="D68" s="317"/>
      <c r="E68" s="18"/>
      <c r="F68" s="317"/>
      <c r="G68" s="18"/>
      <c r="H68" s="317"/>
      <c r="I68" s="18"/>
      <c r="J68" s="317"/>
      <c r="K68" s="18"/>
      <c r="L68" s="317"/>
      <c r="M68" s="414"/>
      <c r="N68" s="316"/>
      <c r="O68" s="316"/>
      <c r="P68" s="341"/>
      <c r="Q68" s="18"/>
      <c r="R68" s="317"/>
    </row>
    <row r="69" spans="1:18" ht="12.75">
      <c r="A69" s="2"/>
      <c r="B69" s="316" t="s">
        <v>315</v>
      </c>
      <c r="C69" s="18">
        <f>C40-C67</f>
        <v>-26977</v>
      </c>
      <c r="D69" s="18"/>
      <c r="E69" s="18">
        <f aca="true" t="shared" si="22" ref="E69:Q69">E40-E67</f>
        <v>-17276</v>
      </c>
      <c r="F69" s="18"/>
      <c r="G69" s="18">
        <f t="shared" si="22"/>
        <v>0</v>
      </c>
      <c r="H69" s="18"/>
      <c r="I69" s="18">
        <f t="shared" si="22"/>
        <v>0</v>
      </c>
      <c r="J69" s="18"/>
      <c r="K69" s="18">
        <f t="shared" si="22"/>
        <v>0</v>
      </c>
      <c r="L69" s="18"/>
      <c r="M69" s="415"/>
      <c r="N69" s="18"/>
      <c r="O69" s="18">
        <f t="shared" si="22"/>
        <v>-26977</v>
      </c>
      <c r="P69" s="73"/>
      <c r="Q69" s="18">
        <f t="shared" si="22"/>
        <v>-26977</v>
      </c>
      <c r="R69" s="317"/>
    </row>
    <row r="70" spans="1:1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 t="s">
        <v>346</v>
      </c>
      <c r="L70" s="2"/>
      <c r="M70" s="414"/>
      <c r="N70" s="2"/>
      <c r="O70" s="2"/>
      <c r="Q70" s="2"/>
      <c r="R70" s="2"/>
    </row>
    <row r="71" spans="1:18" ht="12.75">
      <c r="A71" s="2"/>
      <c r="B71" s="1" t="s">
        <v>1350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414"/>
      <c r="N71" s="2"/>
      <c r="O71" s="2"/>
      <c r="Q71" s="2"/>
      <c r="R71" s="2"/>
    </row>
    <row r="72" spans="1:18" ht="13.5" thickBo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414"/>
      <c r="N72" s="2"/>
      <c r="O72" s="2"/>
      <c r="Q72" s="2"/>
      <c r="R72" s="2"/>
    </row>
    <row r="73" spans="1:18" ht="14.25" thickBot="1" thickTop="1">
      <c r="A73" s="2"/>
      <c r="B73" s="318"/>
      <c r="C73" s="440">
        <f>+C4</f>
        <v>2002</v>
      </c>
      <c r="D73" s="440">
        <f>+C73-1</f>
        <v>2001</v>
      </c>
      <c r="E73" s="440">
        <f>+D73-1</f>
        <v>2000</v>
      </c>
      <c r="F73" s="440">
        <f>+E73-1</f>
        <v>1999</v>
      </c>
      <c r="G73" s="440">
        <f>+F73-1</f>
        <v>1998</v>
      </c>
      <c r="H73" s="2"/>
      <c r="I73" s="2"/>
      <c r="J73" s="2"/>
      <c r="K73" s="2"/>
      <c r="L73" s="2"/>
      <c r="M73" s="414"/>
      <c r="N73" s="2"/>
      <c r="O73" s="2"/>
      <c r="Q73" s="2"/>
      <c r="R73" s="2"/>
    </row>
    <row r="74" spans="1:18" ht="13.5" thickTop="1">
      <c r="A74" s="2"/>
      <c r="B74" s="8" t="s">
        <v>1330</v>
      </c>
      <c r="C74" s="150">
        <f aca="true" t="shared" si="23" ref="C74:C79">C13/$C$13</f>
        <v>1</v>
      </c>
      <c r="D74" s="150">
        <f aca="true" t="shared" si="24" ref="D74:D79">E13/$E$13</f>
        <v>1</v>
      </c>
      <c r="E74" s="150">
        <f aca="true" t="shared" si="25" ref="E74:E79">G13/$G$13</f>
        <v>1</v>
      </c>
      <c r="F74" s="150">
        <f aca="true" t="shared" si="26" ref="F74:F79">I13/$I$13</f>
        <v>1</v>
      </c>
      <c r="G74" s="150">
        <f aca="true" t="shared" si="27" ref="G74:G79">K13/$K$13</f>
        <v>1</v>
      </c>
      <c r="H74" s="11"/>
      <c r="I74" s="12"/>
      <c r="J74" s="11"/>
      <c r="K74" s="2"/>
      <c r="L74" s="2"/>
      <c r="M74" s="414"/>
      <c r="N74" s="2"/>
      <c r="O74" s="2"/>
      <c r="Q74" s="2"/>
      <c r="R74" s="2"/>
    </row>
    <row r="75" spans="1:18" ht="12.75">
      <c r="A75" s="2"/>
      <c r="B75" s="3" t="s">
        <v>1336</v>
      </c>
      <c r="C75" s="151">
        <f t="shared" si="23"/>
        <v>0.9614474929044465</v>
      </c>
      <c r="D75" s="151">
        <f t="shared" si="24"/>
        <v>0.989612188365651</v>
      </c>
      <c r="E75" s="152">
        <f t="shared" si="25"/>
        <v>1</v>
      </c>
      <c r="F75" s="152">
        <f t="shared" si="26"/>
        <v>0.9943074003795066</v>
      </c>
      <c r="G75" s="152">
        <f t="shared" si="27"/>
        <v>0.993993993993994</v>
      </c>
      <c r="H75" s="304"/>
      <c r="I75" s="13"/>
      <c r="J75" s="304"/>
      <c r="K75" s="2"/>
      <c r="L75" s="2"/>
      <c r="M75" s="414"/>
      <c r="N75" s="2"/>
      <c r="O75" s="2"/>
      <c r="Q75" s="2"/>
      <c r="R75" s="2"/>
    </row>
    <row r="76" spans="1:18" ht="12.75">
      <c r="A76" s="2"/>
      <c r="B76" s="3" t="s">
        <v>21</v>
      </c>
      <c r="C76" s="151">
        <f t="shared" si="23"/>
        <v>0</v>
      </c>
      <c r="D76" s="151">
        <f t="shared" si="24"/>
        <v>0</v>
      </c>
      <c r="E76" s="152">
        <f t="shared" si="25"/>
        <v>0</v>
      </c>
      <c r="F76" s="152">
        <f t="shared" si="26"/>
        <v>0</v>
      </c>
      <c r="G76" s="152">
        <f t="shared" si="27"/>
        <v>0</v>
      </c>
      <c r="H76" s="304"/>
      <c r="I76" s="13"/>
      <c r="J76" s="304"/>
      <c r="K76" s="2"/>
      <c r="L76" s="2"/>
      <c r="M76" s="414"/>
      <c r="N76" s="2"/>
      <c r="O76" s="2"/>
      <c r="Q76" s="2"/>
      <c r="R76" s="2"/>
    </row>
    <row r="77" spans="1:18" ht="12.75">
      <c r="A77" s="2"/>
      <c r="B77" s="3" t="s">
        <v>1337</v>
      </c>
      <c r="C77" s="151">
        <f t="shared" si="23"/>
        <v>0</v>
      </c>
      <c r="D77" s="151">
        <f t="shared" si="24"/>
        <v>0</v>
      </c>
      <c r="E77" s="152">
        <f t="shared" si="25"/>
        <v>0</v>
      </c>
      <c r="F77" s="152">
        <f t="shared" si="26"/>
        <v>0</v>
      </c>
      <c r="G77" s="152">
        <f t="shared" si="27"/>
        <v>0</v>
      </c>
      <c r="H77" s="304"/>
      <c r="I77" s="13"/>
      <c r="J77" s="304"/>
      <c r="K77" s="2"/>
      <c r="L77" s="2"/>
      <c r="M77" s="414"/>
      <c r="N77" s="2"/>
      <c r="O77" s="2"/>
      <c r="Q77" s="2"/>
      <c r="R77" s="2"/>
    </row>
    <row r="78" spans="1:18" ht="12.75">
      <c r="A78" s="2"/>
      <c r="B78" s="3" t="s">
        <v>1351</v>
      </c>
      <c r="C78" s="151">
        <f t="shared" si="23"/>
        <v>0</v>
      </c>
      <c r="D78" s="151">
        <f t="shared" si="24"/>
        <v>0</v>
      </c>
      <c r="E78" s="152">
        <f t="shared" si="25"/>
        <v>0</v>
      </c>
      <c r="F78" s="152">
        <f t="shared" si="26"/>
        <v>0.0056925996204933585</v>
      </c>
      <c r="G78" s="152">
        <f t="shared" si="27"/>
        <v>0</v>
      </c>
      <c r="H78" s="304"/>
      <c r="I78" s="13"/>
      <c r="J78" s="304"/>
      <c r="K78" s="2"/>
      <c r="L78" s="2"/>
      <c r="M78" s="414"/>
      <c r="N78" s="2"/>
      <c r="O78" s="2"/>
      <c r="Q78" s="2"/>
      <c r="R78" s="2"/>
    </row>
    <row r="79" spans="1:18" ht="13.5" thickBot="1">
      <c r="A79" s="2"/>
      <c r="B79" s="319" t="s">
        <v>1352</v>
      </c>
      <c r="C79" s="153">
        <f t="shared" si="23"/>
        <v>0.038552507095553454</v>
      </c>
      <c r="D79" s="153">
        <f t="shared" si="24"/>
        <v>0.01038781163434903</v>
      </c>
      <c r="E79" s="154">
        <f t="shared" si="25"/>
        <v>0</v>
      </c>
      <c r="F79" s="154">
        <f t="shared" si="26"/>
        <v>0</v>
      </c>
      <c r="G79" s="154">
        <f t="shared" si="27"/>
        <v>0.006006006006006006</v>
      </c>
      <c r="H79" s="304"/>
      <c r="I79" s="13"/>
      <c r="J79" s="304"/>
      <c r="K79" s="2"/>
      <c r="L79" s="2"/>
      <c r="M79" s="414"/>
      <c r="N79" s="2"/>
      <c r="O79" s="2"/>
      <c r="Q79" s="2"/>
      <c r="R79" s="2"/>
    </row>
    <row r="80" spans="1:18" ht="13.5" thickTop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414"/>
      <c r="N80" s="2"/>
      <c r="O80" s="2"/>
      <c r="Q80" s="2"/>
      <c r="R80" s="2"/>
    </row>
    <row r="81" spans="1:18" ht="12.75">
      <c r="A81" s="2"/>
      <c r="B81" s="1" t="s">
        <v>1380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414"/>
      <c r="N81" s="2"/>
      <c r="O81" s="2"/>
      <c r="Q81" s="2"/>
      <c r="R81" s="2"/>
    </row>
    <row r="82" spans="1:18" ht="13.5" thickBo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414"/>
      <c r="N82" s="2"/>
      <c r="O82" s="2"/>
      <c r="Q82" s="2"/>
      <c r="R82" s="2"/>
    </row>
    <row r="83" spans="1:18" ht="14.25" thickBot="1" thickTop="1">
      <c r="A83" s="2"/>
      <c r="B83" s="318"/>
      <c r="C83" s="440">
        <f>+C73</f>
        <v>2002</v>
      </c>
      <c r="D83" s="440">
        <f>+D73</f>
        <v>2001</v>
      </c>
      <c r="E83" s="440">
        <f>+E73</f>
        <v>2000</v>
      </c>
      <c r="F83" s="440">
        <f>+F73</f>
        <v>1999</v>
      </c>
      <c r="G83" s="440">
        <f>+G73</f>
        <v>1998</v>
      </c>
      <c r="H83" s="2"/>
      <c r="I83" s="2"/>
      <c r="J83" s="2"/>
      <c r="K83" s="2"/>
      <c r="L83" s="2"/>
      <c r="M83" s="414"/>
      <c r="N83" s="2"/>
      <c r="O83" s="2"/>
      <c r="Q83" s="2"/>
      <c r="R83" s="2"/>
    </row>
    <row r="84" spans="1:18" ht="13.5" thickTop="1">
      <c r="A84" s="2"/>
      <c r="B84" s="20"/>
      <c r="C84" s="21"/>
      <c r="D84" s="21"/>
      <c r="E84" s="21"/>
      <c r="F84" s="21"/>
      <c r="G84" s="21"/>
      <c r="H84" s="2"/>
      <c r="I84" s="2"/>
      <c r="J84" s="2"/>
      <c r="K84" s="2"/>
      <c r="L84" s="2"/>
      <c r="M84" s="414"/>
      <c r="N84" s="2"/>
      <c r="O84" s="2"/>
      <c r="Q84" s="2"/>
      <c r="R84" s="2"/>
    </row>
    <row r="85" spans="1:18" ht="12.75">
      <c r="A85" s="2"/>
      <c r="B85" s="2" t="s">
        <v>1354</v>
      </c>
      <c r="C85" s="22">
        <f>C48/C67</f>
        <v>0.1890984077042454</v>
      </c>
      <c r="D85" s="22">
        <f>E48/E67</f>
        <v>0.10966553793144419</v>
      </c>
      <c r="E85" s="22">
        <f>G48/G67</f>
        <v>0.12291692460071808</v>
      </c>
      <c r="F85" s="22">
        <f>I48/I67</f>
        <v>0.15883253677323558</v>
      </c>
      <c r="G85" s="22">
        <f>K48/K67</f>
        <v>0.11274979250462874</v>
      </c>
      <c r="H85" s="2"/>
      <c r="I85" s="2"/>
      <c r="J85" s="2"/>
      <c r="K85" s="2"/>
      <c r="L85" s="2"/>
      <c r="M85" s="414"/>
      <c r="N85" s="2"/>
      <c r="O85" s="2"/>
      <c r="Q85" s="2"/>
      <c r="R85" s="2"/>
    </row>
    <row r="86" spans="1:18" ht="12.75">
      <c r="A86" s="2"/>
      <c r="B86" s="2" t="s">
        <v>1353</v>
      </c>
      <c r="C86" s="22">
        <f>C48/(C67-C48)</f>
        <v>0.2331952600671141</v>
      </c>
      <c r="D86" s="22">
        <f>E48/(E67-E48)</f>
        <v>0.12317341696136652</v>
      </c>
      <c r="E86" s="22">
        <f>G48/(G67-G48)</f>
        <v>0.14014285310973715</v>
      </c>
      <c r="F86" s="22">
        <f>I48/(I67-I48)</f>
        <v>0.18882391879964697</v>
      </c>
      <c r="G86" s="22">
        <f>K48/(K67-K48)</f>
        <v>0.12707778657264157</v>
      </c>
      <c r="H86" s="2"/>
      <c r="I86" s="2"/>
      <c r="J86" s="2"/>
      <c r="K86" s="2"/>
      <c r="L86" s="2"/>
      <c r="M86" s="414"/>
      <c r="N86" s="2"/>
      <c r="O86" s="2"/>
      <c r="Q86" s="2"/>
      <c r="R86" s="2"/>
    </row>
    <row r="87" spans="1:18" ht="13.5" thickBot="1">
      <c r="A87" s="2"/>
      <c r="B87" s="23" t="s">
        <v>16</v>
      </c>
      <c r="C87" s="155">
        <f>C118/C123</f>
        <v>3.0586166471277845</v>
      </c>
      <c r="D87" s="155">
        <f>E118/E123</f>
        <v>-2.1664663461538463</v>
      </c>
      <c r="E87" s="155">
        <f>G118/G123</f>
        <v>6.116279069767442</v>
      </c>
      <c r="F87" s="155">
        <f>I118/I123</f>
        <v>-48.45</v>
      </c>
      <c r="G87" s="155">
        <f>K118/K123</f>
        <v>-0.6979166666666666</v>
      </c>
      <c r="H87" s="2"/>
      <c r="I87" s="2"/>
      <c r="J87" s="2"/>
      <c r="K87" s="2"/>
      <c r="L87" s="2"/>
      <c r="M87" s="414"/>
      <c r="N87" s="2"/>
      <c r="O87" s="2"/>
      <c r="Q87" s="2"/>
      <c r="R87" s="2"/>
    </row>
    <row r="88" spans="1:18" ht="13.5" thickTop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414"/>
      <c r="N88" s="2"/>
      <c r="O88" s="2"/>
      <c r="Q88" s="2"/>
      <c r="R88" s="2"/>
    </row>
    <row r="89" spans="1:18" ht="12.75">
      <c r="A89" s="2"/>
      <c r="B89" s="1" t="s">
        <v>73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414"/>
      <c r="N89" s="2"/>
      <c r="O89" s="2"/>
      <c r="Q89" s="2"/>
      <c r="R89" s="2"/>
    </row>
    <row r="90" spans="1:18" ht="13.5" thickBo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414"/>
      <c r="N90" s="2"/>
      <c r="O90" s="2"/>
      <c r="Q90" s="2"/>
      <c r="R90" s="2"/>
    </row>
    <row r="91" spans="1:18" ht="14.25" thickBot="1" thickTop="1">
      <c r="A91" s="2"/>
      <c r="B91" s="318"/>
      <c r="C91" s="440">
        <f>+C73</f>
        <v>2002</v>
      </c>
      <c r="D91" s="440">
        <f>+D73</f>
        <v>2001</v>
      </c>
      <c r="E91" s="440">
        <f>+E73</f>
        <v>2000</v>
      </c>
      <c r="F91" s="440">
        <f>+F73</f>
        <v>1999</v>
      </c>
      <c r="G91" s="440">
        <f>+G73</f>
        <v>1998</v>
      </c>
      <c r="H91" s="2"/>
      <c r="I91" s="2"/>
      <c r="J91" s="2"/>
      <c r="K91" s="2"/>
      <c r="L91" s="2"/>
      <c r="M91" s="414"/>
      <c r="N91" s="2"/>
      <c r="O91" s="2"/>
      <c r="Q91" s="2"/>
      <c r="R91" s="2"/>
    </row>
    <row r="92" spans="1:18" ht="13.5" thickTop="1">
      <c r="A92" s="2"/>
      <c r="B92" s="20"/>
      <c r="C92" s="21"/>
      <c r="D92" s="21"/>
      <c r="E92" s="21"/>
      <c r="F92" s="21"/>
      <c r="G92" s="21"/>
      <c r="H92" s="2"/>
      <c r="I92" s="2"/>
      <c r="J92" s="2"/>
      <c r="K92" s="2"/>
      <c r="L92" s="2"/>
      <c r="M92" s="414"/>
      <c r="N92" s="2"/>
      <c r="O92" s="2"/>
      <c r="Q92" s="2"/>
      <c r="R92" s="2"/>
    </row>
    <row r="93" spans="1:18" ht="12.75">
      <c r="A93" s="2"/>
      <c r="B93" s="2" t="s">
        <v>17</v>
      </c>
      <c r="C93" s="22">
        <f>C58/C20</f>
        <v>1.650398061613015</v>
      </c>
      <c r="D93" s="22">
        <f>E58/E20</f>
        <v>1.5884051826925625</v>
      </c>
      <c r="E93" s="22">
        <f>G58/G20</f>
        <v>1.1127814799608375</v>
      </c>
      <c r="F93" s="22">
        <f>I58/I20</f>
        <v>1.1129999381838414</v>
      </c>
      <c r="G93" s="22">
        <f>K58/K20</f>
        <v>1.2382787987449575</v>
      </c>
      <c r="H93" s="2"/>
      <c r="I93" s="2"/>
      <c r="J93" s="2"/>
      <c r="K93" s="2"/>
      <c r="L93" s="2"/>
      <c r="M93" s="414"/>
      <c r="N93" s="2"/>
      <c r="O93" s="2"/>
      <c r="Q93" s="2"/>
      <c r="R93" s="2"/>
    </row>
    <row r="94" spans="1:18" ht="12.75">
      <c r="A94" s="2"/>
      <c r="B94" s="2" t="s">
        <v>22</v>
      </c>
      <c r="C94" s="22">
        <f>C7/(C49-C54)</f>
        <v>1.1735244519392918</v>
      </c>
      <c r="D94" s="22">
        <f>E7/(E49-E54)</f>
        <v>1.667795232936078</v>
      </c>
      <c r="E94" s="22">
        <f>G7/(G49-G54)</f>
        <v>1.719379532634972</v>
      </c>
      <c r="F94" s="22">
        <f>I7/(I49-I54)</f>
        <v>1.5340344726847794</v>
      </c>
      <c r="G94" s="22">
        <f>K7/(K49-K54)</f>
        <v>2.5050962627406568</v>
      </c>
      <c r="H94" s="2"/>
      <c r="I94" s="2"/>
      <c r="J94" s="2"/>
      <c r="K94" s="2"/>
      <c r="L94" s="2"/>
      <c r="M94" s="414"/>
      <c r="N94" s="2"/>
      <c r="O94" s="2"/>
      <c r="Q94" s="2"/>
      <c r="R94" s="2"/>
    </row>
    <row r="95" spans="1:18" ht="13.5" thickBot="1">
      <c r="A95" s="2"/>
      <c r="B95" s="23" t="s">
        <v>1355</v>
      </c>
      <c r="C95" s="156">
        <f>(C8+C9)/(C49-C54)</f>
        <v>0.9358628442945475</v>
      </c>
      <c r="D95" s="156">
        <f>(E8+E9)/(E49-E54)</f>
        <v>1.472237269772481</v>
      </c>
      <c r="E95" s="156">
        <f>(G8+G9)/(G49-G54)</f>
        <v>1.525382755842063</v>
      </c>
      <c r="F95" s="156">
        <f>(I8+I9)/(I49-I54)</f>
        <v>1.3800759567630734</v>
      </c>
      <c r="G95" s="156">
        <f>(K8+K9)/(K49-K54)</f>
        <v>2.12797281993205</v>
      </c>
      <c r="H95" s="2"/>
      <c r="I95" s="2"/>
      <c r="J95" s="2"/>
      <c r="K95" s="2"/>
      <c r="L95" s="2"/>
      <c r="M95" s="414"/>
      <c r="N95" s="2"/>
      <c r="O95" s="2"/>
      <c r="Q95" s="2"/>
      <c r="R95" s="2"/>
    </row>
    <row r="96" spans="1:18" ht="13.5" thickTop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414"/>
      <c r="N96" s="2"/>
      <c r="O96" s="2"/>
      <c r="Q96" s="2"/>
      <c r="R96" s="2"/>
    </row>
    <row r="97" spans="1:18" ht="12.75">
      <c r="A97" s="2"/>
      <c r="B97" s="2"/>
      <c r="C97" s="2"/>
      <c r="D97" s="2"/>
      <c r="E97" s="2"/>
      <c r="F97" s="12">
        <f>14714+E118</f>
        <v>11109</v>
      </c>
      <c r="G97" s="2"/>
      <c r="H97" s="2"/>
      <c r="I97" s="2"/>
      <c r="J97" s="2"/>
      <c r="K97" s="2"/>
      <c r="L97" s="2"/>
      <c r="M97" s="414"/>
      <c r="N97" s="2"/>
      <c r="O97" s="2"/>
      <c r="Q97" s="2"/>
      <c r="R97" s="2"/>
    </row>
    <row r="98" spans="1:18" ht="12.75">
      <c r="A98" s="2"/>
      <c r="B98" s="1" t="s">
        <v>18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414"/>
      <c r="N98" s="2"/>
      <c r="O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414"/>
      <c r="N99" s="2"/>
      <c r="O99" s="2"/>
      <c r="Q99" s="2"/>
      <c r="R99" s="2"/>
    </row>
    <row r="100" spans="1:18" ht="12.75">
      <c r="A100" s="2"/>
      <c r="B100" s="416" t="s">
        <v>1327</v>
      </c>
      <c r="C100" s="986">
        <f>+C91</f>
        <v>2002</v>
      </c>
      <c r="D100" s="986"/>
      <c r="E100" s="986">
        <f>+D91</f>
        <v>2001</v>
      </c>
      <c r="F100" s="986"/>
      <c r="G100" s="986">
        <f>+E91</f>
        <v>2000</v>
      </c>
      <c r="H100" s="986"/>
      <c r="I100" s="986">
        <f>+F91</f>
        <v>1999</v>
      </c>
      <c r="J100" s="986"/>
      <c r="K100" s="986">
        <f>+G91</f>
        <v>1998</v>
      </c>
      <c r="L100" s="986"/>
      <c r="M100" s="414"/>
      <c r="N100" s="2"/>
      <c r="O100" s="2"/>
      <c r="Q100" s="2"/>
      <c r="R100" s="2"/>
    </row>
    <row r="101" spans="1:18" ht="12.75">
      <c r="A101" s="2"/>
      <c r="B101" s="417"/>
      <c r="C101" s="416" t="s">
        <v>277</v>
      </c>
      <c r="D101" s="416" t="s">
        <v>1328</v>
      </c>
      <c r="E101" s="416" t="s">
        <v>277</v>
      </c>
      <c r="F101" s="416" t="s">
        <v>1328</v>
      </c>
      <c r="G101" s="416" t="s">
        <v>277</v>
      </c>
      <c r="H101" s="416" t="s">
        <v>1328</v>
      </c>
      <c r="I101" s="416" t="s">
        <v>277</v>
      </c>
      <c r="J101" s="416" t="s">
        <v>1328</v>
      </c>
      <c r="K101" s="416" t="s">
        <v>277</v>
      </c>
      <c r="L101" s="416" t="s">
        <v>1328</v>
      </c>
      <c r="M101" s="414"/>
      <c r="N101" s="2"/>
      <c r="O101" s="2"/>
      <c r="Q101" s="2"/>
      <c r="R101" s="2"/>
    </row>
    <row r="102" spans="1:18" ht="12.75">
      <c r="A102" s="2"/>
      <c r="B102" s="418"/>
      <c r="C102" s="418"/>
      <c r="D102" s="418"/>
      <c r="E102" s="418"/>
      <c r="F102" s="418"/>
      <c r="G102" s="418"/>
      <c r="H102" s="418"/>
      <c r="I102" s="418"/>
      <c r="J102" s="418"/>
      <c r="K102" s="418"/>
      <c r="L102" s="418"/>
      <c r="M102" s="414"/>
      <c r="N102" s="2"/>
      <c r="O102" s="2"/>
      <c r="Q102" s="2"/>
      <c r="R102" s="2"/>
    </row>
    <row r="103" spans="1:18" ht="12.75">
      <c r="A103" s="2"/>
      <c r="B103" s="419" t="s">
        <v>1356</v>
      </c>
      <c r="C103" s="417">
        <f>SUM(C104:C107)-C108</f>
        <v>100551</v>
      </c>
      <c r="D103" s="420">
        <f aca="true" t="shared" si="28" ref="D103:D118">C103/$C$103</f>
        <v>1</v>
      </c>
      <c r="E103" s="417">
        <f>SUM(E104:E107)-E108</f>
        <v>43105</v>
      </c>
      <c r="F103" s="420">
        <f aca="true" t="shared" si="29" ref="F103:F118">E103/$E$103</f>
        <v>1</v>
      </c>
      <c r="G103" s="417">
        <f>SUM(G104:G107)-G108</f>
        <v>25162</v>
      </c>
      <c r="H103" s="420">
        <f aca="true" t="shared" si="30" ref="H103:H118">G103/$G$103</f>
        <v>1</v>
      </c>
      <c r="I103" s="417">
        <f>SUM(I104:I107)-I108</f>
        <v>9934</v>
      </c>
      <c r="J103" s="420">
        <f aca="true" t="shared" si="31" ref="J103:J118">I103/$I$103</f>
        <v>1</v>
      </c>
      <c r="K103" s="417">
        <f>SUM(K104:K107)-K108</f>
        <v>10251</v>
      </c>
      <c r="L103" s="420">
        <f aca="true" t="shared" si="32" ref="L103:L118">K103/$K$103</f>
        <v>1</v>
      </c>
      <c r="M103" s="414"/>
      <c r="N103" s="2"/>
      <c r="O103" s="2"/>
      <c r="Q103" s="2"/>
      <c r="R103" s="2"/>
    </row>
    <row r="104" spans="1:18" ht="12.75">
      <c r="A104" s="2"/>
      <c r="B104" s="418" t="s">
        <v>71</v>
      </c>
      <c r="C104" s="424">
        <f>+Ulaz!F131+Ulaz!F132+Ulaz!F135+Ulaz!F136</f>
        <v>100039</v>
      </c>
      <c r="D104" s="422">
        <f t="shared" si="28"/>
        <v>0.9949080566080895</v>
      </c>
      <c r="E104" s="424">
        <f>+Ulaz!J131+Ulaz!J132+Ulaz!J135+Ulaz!J136</f>
        <v>42558</v>
      </c>
      <c r="F104" s="422">
        <f t="shared" si="29"/>
        <v>0.9873100568379538</v>
      </c>
      <c r="G104" s="424">
        <f>+Ulaz!N131+Ulaz!N132+Ulaz!N135+Ulaz!N136</f>
        <v>24994</v>
      </c>
      <c r="H104" s="422">
        <f t="shared" si="30"/>
        <v>0.9933232652412368</v>
      </c>
      <c r="I104" s="424">
        <f>+Ulaz!R131+Ulaz!R132+Ulaz!R135+Ulaz!R136</f>
        <v>9733</v>
      </c>
      <c r="J104" s="422">
        <f t="shared" si="31"/>
        <v>0.9797664586269378</v>
      </c>
      <c r="K104" s="424">
        <f>+Ulaz!V131+Ulaz!V132+Ulaz!V135+Ulaz!V136</f>
        <v>10176</v>
      </c>
      <c r="L104" s="422">
        <f t="shared" si="32"/>
        <v>0.9926836406204272</v>
      </c>
      <c r="M104" s="414"/>
      <c r="N104" s="2"/>
      <c r="O104" s="2"/>
      <c r="Q104" s="2"/>
      <c r="R104" s="2"/>
    </row>
    <row r="105" spans="1:18" ht="12.75">
      <c r="A105" s="2"/>
      <c r="B105" s="418" t="s">
        <v>72</v>
      </c>
      <c r="C105" s="424">
        <f>+Ulaz!F133+Ulaz!F137</f>
        <v>0</v>
      </c>
      <c r="D105" s="422">
        <f t="shared" si="28"/>
        <v>0</v>
      </c>
      <c r="E105" s="424">
        <f>+Ulaz!J133+Ulaz!J137</f>
        <v>0</v>
      </c>
      <c r="F105" s="422">
        <f t="shared" si="29"/>
        <v>0</v>
      </c>
      <c r="G105" s="424">
        <f>+Ulaz!N133+Ulaz!N137</f>
        <v>0</v>
      </c>
      <c r="H105" s="422">
        <f t="shared" si="30"/>
        <v>0</v>
      </c>
      <c r="I105" s="424">
        <f>+Ulaz!R133+Ulaz!R137</f>
        <v>0</v>
      </c>
      <c r="J105" s="422">
        <f t="shared" si="31"/>
        <v>0</v>
      </c>
      <c r="K105" s="424">
        <f>+Ulaz!V133+Ulaz!V137</f>
        <v>0</v>
      </c>
      <c r="L105" s="422">
        <f t="shared" si="32"/>
        <v>0</v>
      </c>
      <c r="M105" s="414"/>
      <c r="N105" s="2"/>
      <c r="O105" s="2"/>
      <c r="Q105" s="2"/>
      <c r="R105" s="2"/>
    </row>
    <row r="106" spans="1:18" ht="12.75">
      <c r="A106" s="2"/>
      <c r="B106" s="418" t="s">
        <v>1358</v>
      </c>
      <c r="C106" s="429">
        <f>+Ulaz!F138+Ulaz!F139+Ulaz!F140</f>
        <v>512</v>
      </c>
      <c r="D106" s="422">
        <f t="shared" si="28"/>
        <v>0.005091943391910572</v>
      </c>
      <c r="E106" s="429">
        <f>+Ulaz!J138+Ulaz!J139+Ulaz!J140</f>
        <v>547</v>
      </c>
      <c r="F106" s="422">
        <f t="shared" si="29"/>
        <v>0.012689943162046167</v>
      </c>
      <c r="G106" s="429">
        <f>+Ulaz!N138+Ulaz!N139+Ulaz!N140</f>
        <v>168</v>
      </c>
      <c r="H106" s="422">
        <f t="shared" si="30"/>
        <v>0.006676734758763215</v>
      </c>
      <c r="I106" s="429">
        <f>+Ulaz!R138+Ulaz!R139+Ulaz!R140</f>
        <v>201</v>
      </c>
      <c r="J106" s="422">
        <f t="shared" si="31"/>
        <v>0.02023354137306221</v>
      </c>
      <c r="K106" s="429">
        <f>+Ulaz!V138+Ulaz!V139+Ulaz!V140</f>
        <v>75</v>
      </c>
      <c r="L106" s="422">
        <f t="shared" si="32"/>
        <v>0.0073163593795727245</v>
      </c>
      <c r="M106" s="414"/>
      <c r="N106" s="2"/>
      <c r="O106" s="2"/>
      <c r="Q106" s="2"/>
      <c r="R106" s="2"/>
    </row>
    <row r="107" spans="1:18" ht="12.75">
      <c r="A107" s="2"/>
      <c r="B107" s="418" t="s">
        <v>19</v>
      </c>
      <c r="C107" s="429">
        <f>+Ulaz!F141</f>
        <v>0</v>
      </c>
      <c r="D107" s="422">
        <f t="shared" si="28"/>
        <v>0</v>
      </c>
      <c r="E107" s="429">
        <f>+Ulaz!J141</f>
        <v>0</v>
      </c>
      <c r="F107" s="422">
        <f t="shared" si="29"/>
        <v>0</v>
      </c>
      <c r="G107" s="429">
        <f>+Ulaz!N141</f>
        <v>0</v>
      </c>
      <c r="H107" s="422">
        <f t="shared" si="30"/>
        <v>0</v>
      </c>
      <c r="I107" s="429">
        <f>+Ulaz!R141</f>
        <v>0</v>
      </c>
      <c r="J107" s="422">
        <f t="shared" si="31"/>
        <v>0</v>
      </c>
      <c r="K107" s="429">
        <f>+Ulaz!V141</f>
        <v>0</v>
      </c>
      <c r="L107" s="422">
        <f t="shared" si="32"/>
        <v>0</v>
      </c>
      <c r="M107" s="414"/>
      <c r="N107" s="2"/>
      <c r="O107" s="2"/>
      <c r="Q107" s="2"/>
      <c r="R107" s="2"/>
    </row>
    <row r="108" spans="1:18" ht="12.75">
      <c r="A108" s="2"/>
      <c r="B108" s="418" t="s">
        <v>12</v>
      </c>
      <c r="C108" s="429">
        <f>+Ulaz!F142</f>
        <v>0</v>
      </c>
      <c r="D108" s="422"/>
      <c r="E108" s="429">
        <f>+Ulaz!J142</f>
        <v>0</v>
      </c>
      <c r="F108" s="422"/>
      <c r="G108" s="429">
        <f>+Ulaz!N142</f>
        <v>0</v>
      </c>
      <c r="H108" s="422"/>
      <c r="I108" s="429">
        <f>+Ulaz!R142</f>
        <v>0</v>
      </c>
      <c r="J108" s="422"/>
      <c r="K108" s="429">
        <f>+Ulaz!V142</f>
        <v>0</v>
      </c>
      <c r="L108" s="422"/>
      <c r="M108" s="414"/>
      <c r="N108" s="2"/>
      <c r="O108" s="2"/>
      <c r="Q108" s="2"/>
      <c r="R108" s="2"/>
    </row>
    <row r="109" spans="1:18" ht="12.75">
      <c r="A109" s="2"/>
      <c r="B109" s="419" t="s">
        <v>1359</v>
      </c>
      <c r="C109" s="417">
        <f>SUM(C110:C117)</f>
        <v>97942</v>
      </c>
      <c r="D109" s="420">
        <f t="shared" si="28"/>
        <v>0.9740529681455182</v>
      </c>
      <c r="E109" s="417">
        <f>SUM(E110:E117)</f>
        <v>46710</v>
      </c>
      <c r="F109" s="420">
        <f t="shared" si="29"/>
        <v>1.0836329892123884</v>
      </c>
      <c r="G109" s="417">
        <f>SUM(G110:G117)</f>
        <v>24899</v>
      </c>
      <c r="H109" s="420">
        <f t="shared" si="30"/>
        <v>0.9895477307050314</v>
      </c>
      <c r="I109" s="417">
        <f>SUM(I110:I117)</f>
        <v>10903</v>
      </c>
      <c r="J109" s="420">
        <f t="shared" si="31"/>
        <v>1.097543789007449</v>
      </c>
      <c r="K109" s="417">
        <f>SUM(K110:K117)</f>
        <v>10318</v>
      </c>
      <c r="L109" s="420">
        <f t="shared" si="32"/>
        <v>1.0065359477124183</v>
      </c>
      <c r="M109" s="414"/>
      <c r="N109" s="2"/>
      <c r="O109" s="2"/>
      <c r="Q109" s="2"/>
      <c r="R109" s="2"/>
    </row>
    <row r="110" spans="1:18" ht="12.75">
      <c r="A110" s="2"/>
      <c r="B110" s="418" t="s">
        <v>1370</v>
      </c>
      <c r="C110" s="417">
        <f>+Ulaz!F146</f>
        <v>0</v>
      </c>
      <c r="D110" s="422">
        <f t="shared" si="28"/>
        <v>0</v>
      </c>
      <c r="E110" s="417">
        <f>+Ulaz!J146</f>
        <v>10453</v>
      </c>
      <c r="F110" s="422">
        <f t="shared" si="29"/>
        <v>0.24250086996868112</v>
      </c>
      <c r="G110" s="417">
        <f>+Ulaz!N146</f>
        <v>7</v>
      </c>
      <c r="H110" s="422">
        <f t="shared" si="30"/>
        <v>0.00027819728161513393</v>
      </c>
      <c r="I110" s="417">
        <f>+Ulaz!R146</f>
        <v>84</v>
      </c>
      <c r="J110" s="422">
        <f t="shared" si="31"/>
        <v>0.008455808335011073</v>
      </c>
      <c r="K110" s="417">
        <f>+Ulaz!V146</f>
        <v>0</v>
      </c>
      <c r="L110" s="422">
        <f t="shared" si="32"/>
        <v>0</v>
      </c>
      <c r="M110" s="414"/>
      <c r="N110" s="2"/>
      <c r="O110" s="2"/>
      <c r="Q110" s="2"/>
      <c r="R110" s="2"/>
    </row>
    <row r="111" spans="1:18" ht="12.75">
      <c r="A111" s="2"/>
      <c r="B111" s="418" t="s">
        <v>20</v>
      </c>
      <c r="C111" s="429">
        <f>+Ulaz!F147</f>
        <v>22189</v>
      </c>
      <c r="D111" s="422">
        <f t="shared" si="28"/>
        <v>0.2206740857873119</v>
      </c>
      <c r="E111" s="429">
        <f>+Ulaz!J147</f>
        <v>0</v>
      </c>
      <c r="F111" s="422">
        <f t="shared" si="29"/>
        <v>0</v>
      </c>
      <c r="G111" s="429">
        <f>+Ulaz!N147</f>
        <v>4431</v>
      </c>
      <c r="H111" s="422">
        <f t="shared" si="30"/>
        <v>0.17609887926237977</v>
      </c>
      <c r="I111" s="429">
        <f>+Ulaz!R147</f>
        <v>1446</v>
      </c>
      <c r="J111" s="422">
        <f t="shared" si="31"/>
        <v>0.1455607006241192</v>
      </c>
      <c r="K111" s="429">
        <f>+Ulaz!V147</f>
        <v>1874</v>
      </c>
      <c r="L111" s="422">
        <f t="shared" si="32"/>
        <v>0.18281143303092381</v>
      </c>
      <c r="M111" s="414"/>
      <c r="N111" s="2"/>
      <c r="O111" s="2"/>
      <c r="Q111" s="2"/>
      <c r="R111" s="2"/>
    </row>
    <row r="112" spans="1:22" ht="12.75">
      <c r="A112" s="2"/>
      <c r="B112" s="418" t="s">
        <v>64</v>
      </c>
      <c r="C112" s="429">
        <f>+Ulaz!F151+Ulaz!F152</f>
        <v>8829</v>
      </c>
      <c r="D112" s="422">
        <f t="shared" si="28"/>
        <v>0.08780618790464541</v>
      </c>
      <c r="E112" s="429">
        <f>+Ulaz!J151+Ulaz!J152</f>
        <v>6290</v>
      </c>
      <c r="F112" s="422">
        <f t="shared" si="29"/>
        <v>0.1459227467811159</v>
      </c>
      <c r="G112" s="429">
        <f>+Ulaz!N151+Ulaz!N152</f>
        <v>3062</v>
      </c>
      <c r="H112" s="422">
        <f t="shared" si="30"/>
        <v>0.12169143947222001</v>
      </c>
      <c r="I112" s="429">
        <f>+Ulaz!R151+Ulaz!R152</f>
        <v>902</v>
      </c>
      <c r="J112" s="422">
        <f t="shared" si="31"/>
        <v>0.09079927521642843</v>
      </c>
      <c r="K112" s="429">
        <f>+Ulaz!V151+Ulaz!V152</f>
        <v>1095</v>
      </c>
      <c r="L112" s="422">
        <f t="shared" si="32"/>
        <v>0.10681884694176177</v>
      </c>
      <c r="M112" s="414"/>
      <c r="N112" s="320"/>
      <c r="O112" s="320"/>
      <c r="P112" s="342"/>
      <c r="Q112" s="320"/>
      <c r="R112" s="320"/>
      <c r="S112" s="166"/>
      <c r="U112" s="166"/>
      <c r="V112" s="166"/>
    </row>
    <row r="113" spans="1:22" ht="12.75">
      <c r="A113" s="2"/>
      <c r="B113" s="418" t="s">
        <v>65</v>
      </c>
      <c r="C113" s="429">
        <f>+Ulaz!F153</f>
        <v>23963</v>
      </c>
      <c r="D113" s="422">
        <f t="shared" si="28"/>
        <v>0.23831687402412707</v>
      </c>
      <c r="E113" s="429">
        <f>+Ulaz!J153</f>
        <v>10256</v>
      </c>
      <c r="F113" s="422">
        <f t="shared" si="29"/>
        <v>0.2379306344971581</v>
      </c>
      <c r="G113" s="429">
        <f>+Ulaz!N153</f>
        <v>5134</v>
      </c>
      <c r="H113" s="422">
        <f t="shared" si="30"/>
        <v>0.20403783483029966</v>
      </c>
      <c r="I113" s="429">
        <f>+Ulaz!R153</f>
        <v>3111</v>
      </c>
      <c r="J113" s="422">
        <f t="shared" si="31"/>
        <v>0.3131669015502315</v>
      </c>
      <c r="K113" s="429">
        <f>+Ulaz!V153</f>
        <v>2826</v>
      </c>
      <c r="L113" s="422">
        <f t="shared" si="32"/>
        <v>0.27568042142230026</v>
      </c>
      <c r="M113" s="414"/>
      <c r="N113" s="320"/>
      <c r="O113" s="320"/>
      <c r="P113" s="342"/>
      <c r="Q113" s="320"/>
      <c r="R113" s="320"/>
      <c r="S113" s="166"/>
      <c r="U113" s="166"/>
      <c r="V113" s="166"/>
    </row>
    <row r="114" spans="1:22" ht="12.75">
      <c r="A114" s="2"/>
      <c r="B114" s="418" t="s">
        <v>66</v>
      </c>
      <c r="C114" s="429">
        <f>+Ulaz!F158</f>
        <v>19931</v>
      </c>
      <c r="D114" s="422">
        <f t="shared" si="28"/>
        <v>0.1982178198128313</v>
      </c>
      <c r="E114" s="429">
        <f>+Ulaz!J158</f>
        <v>6846</v>
      </c>
      <c r="F114" s="422">
        <f t="shared" si="29"/>
        <v>0.15882148242663263</v>
      </c>
      <c r="G114" s="429">
        <f>+Ulaz!N158</f>
        <v>4263</v>
      </c>
      <c r="H114" s="422">
        <f t="shared" si="30"/>
        <v>0.16942214450361656</v>
      </c>
      <c r="I114" s="429">
        <f>+Ulaz!R158</f>
        <v>1090</v>
      </c>
      <c r="J114" s="422">
        <f t="shared" si="31"/>
        <v>0.10972417958526273</v>
      </c>
      <c r="K114" s="429">
        <f>+Ulaz!V158</f>
        <v>898</v>
      </c>
      <c r="L114" s="422">
        <f t="shared" si="32"/>
        <v>0.08760120963808408</v>
      </c>
      <c r="M114" s="414"/>
      <c r="N114" s="320"/>
      <c r="O114" s="320"/>
      <c r="P114" s="342"/>
      <c r="Q114" s="320"/>
      <c r="R114" s="320"/>
      <c r="S114" s="166"/>
      <c r="U114" s="166"/>
      <c r="V114" s="166"/>
    </row>
    <row r="115" spans="1:22" ht="12.75">
      <c r="A115" s="2"/>
      <c r="B115" s="418" t="s">
        <v>67</v>
      </c>
      <c r="C115" s="429">
        <f>+Ulaz!F159</f>
        <v>8293</v>
      </c>
      <c r="D115" s="422">
        <f t="shared" si="28"/>
        <v>0.08247555966623903</v>
      </c>
      <c r="E115" s="429">
        <f>+Ulaz!J159</f>
        <v>6388</v>
      </c>
      <c r="F115" s="422">
        <f t="shared" si="29"/>
        <v>0.14819626493446236</v>
      </c>
      <c r="G115" s="429">
        <f>+Ulaz!N159</f>
        <v>2370</v>
      </c>
      <c r="H115" s="422">
        <f t="shared" si="30"/>
        <v>0.09418965106112391</v>
      </c>
      <c r="I115" s="429">
        <f>+Ulaz!R159</f>
        <v>1544</v>
      </c>
      <c r="J115" s="422">
        <f t="shared" si="31"/>
        <v>0.15542581034829878</v>
      </c>
      <c r="K115" s="429">
        <f>+Ulaz!V159</f>
        <v>1123</v>
      </c>
      <c r="L115" s="422">
        <f t="shared" si="32"/>
        <v>0.10955028777680226</v>
      </c>
      <c r="M115" s="414"/>
      <c r="N115" s="320"/>
      <c r="O115" s="320"/>
      <c r="P115" s="342"/>
      <c r="Q115" s="320"/>
      <c r="R115" s="320"/>
      <c r="S115" s="166"/>
      <c r="U115" s="166"/>
      <c r="V115" s="166"/>
    </row>
    <row r="116" spans="1:22" ht="12.75">
      <c r="A116" s="2"/>
      <c r="B116" s="418" t="s">
        <v>68</v>
      </c>
      <c r="C116" s="429">
        <f>+Ulaz!F161+Ulaz!F160</f>
        <v>9765</v>
      </c>
      <c r="D116" s="422">
        <f t="shared" si="28"/>
        <v>0.09711489691798192</v>
      </c>
      <c r="E116" s="429">
        <f>+Ulaz!J161+Ulaz!J160</f>
        <v>4157</v>
      </c>
      <c r="F116" s="422">
        <f t="shared" si="29"/>
        <v>0.09643892819858485</v>
      </c>
      <c r="G116" s="429">
        <f>+Ulaz!N161+Ulaz!N160</f>
        <v>4140</v>
      </c>
      <c r="H116" s="422">
        <f t="shared" si="30"/>
        <v>0.16453382084095064</v>
      </c>
      <c r="I116" s="429">
        <f>+Ulaz!R161+Ulaz!R160</f>
        <v>1799</v>
      </c>
      <c r="J116" s="422">
        <f t="shared" si="31"/>
        <v>0.18109522850815382</v>
      </c>
      <c r="K116" s="429">
        <f>+Ulaz!V161+Ulaz!V160</f>
        <v>1622</v>
      </c>
      <c r="L116" s="422">
        <f t="shared" si="32"/>
        <v>0.15822846551555947</v>
      </c>
      <c r="M116" s="414"/>
      <c r="N116" s="320"/>
      <c r="O116" s="320"/>
      <c r="P116" s="342"/>
      <c r="Q116" s="320"/>
      <c r="R116" s="320"/>
      <c r="S116" s="166"/>
      <c r="U116" s="166"/>
      <c r="V116" s="166"/>
    </row>
    <row r="117" spans="1:22" ht="12.75">
      <c r="A117" s="2"/>
      <c r="B117" s="418" t="s">
        <v>69</v>
      </c>
      <c r="C117" s="429">
        <f>+Ulaz!F162+Ulaz!F163</f>
        <v>4972</v>
      </c>
      <c r="D117" s="422">
        <f t="shared" si="28"/>
        <v>0.04944754403238158</v>
      </c>
      <c r="E117" s="429">
        <f>+Ulaz!J162+Ulaz!J163</f>
        <v>2320</v>
      </c>
      <c r="F117" s="422">
        <f t="shared" si="29"/>
        <v>0.05382206240575339</v>
      </c>
      <c r="G117" s="429">
        <f>+Ulaz!N162+Ulaz!N163</f>
        <v>1492</v>
      </c>
      <c r="H117" s="422">
        <f t="shared" si="30"/>
        <v>0.05929576345282569</v>
      </c>
      <c r="I117" s="429">
        <f>+Ulaz!R162+Ulaz!R163</f>
        <v>927</v>
      </c>
      <c r="J117" s="422">
        <f t="shared" si="31"/>
        <v>0.09331588483994363</v>
      </c>
      <c r="K117" s="429">
        <f>+Ulaz!V162+Ulaz!V163</f>
        <v>880</v>
      </c>
      <c r="L117" s="422">
        <f t="shared" si="32"/>
        <v>0.08584528338698663</v>
      </c>
      <c r="M117" s="414"/>
      <c r="N117" s="320"/>
      <c r="O117" s="320"/>
      <c r="P117" s="342"/>
      <c r="Q117" s="320"/>
      <c r="R117" s="320"/>
      <c r="S117" s="166"/>
      <c r="U117" s="166"/>
      <c r="V117" s="166"/>
    </row>
    <row r="118" spans="1:18" ht="12.75">
      <c r="A118" s="2"/>
      <c r="B118" s="419" t="s">
        <v>1360</v>
      </c>
      <c r="C118" s="417">
        <f>C103-C109</f>
        <v>2609</v>
      </c>
      <c r="D118" s="420">
        <f t="shared" si="28"/>
        <v>0.025947031854481804</v>
      </c>
      <c r="E118" s="417">
        <f>E103-E109</f>
        <v>-3605</v>
      </c>
      <c r="F118" s="420">
        <f t="shared" si="29"/>
        <v>-0.08363298921238835</v>
      </c>
      <c r="G118" s="417">
        <f>G103-G109</f>
        <v>263</v>
      </c>
      <c r="H118" s="420">
        <f t="shared" si="30"/>
        <v>0.010452269294968604</v>
      </c>
      <c r="I118" s="417">
        <f>I103-I109</f>
        <v>-969</v>
      </c>
      <c r="J118" s="420">
        <f t="shared" si="31"/>
        <v>-0.09754378900744916</v>
      </c>
      <c r="K118" s="417">
        <f>K103-K109</f>
        <v>-67</v>
      </c>
      <c r="L118" s="420">
        <f t="shared" si="32"/>
        <v>-0.006535947712418301</v>
      </c>
      <c r="M118" s="414"/>
      <c r="N118" s="2"/>
      <c r="O118" s="2"/>
      <c r="Q118" s="2"/>
      <c r="R118" s="2"/>
    </row>
    <row r="119" spans="1:18" ht="12.75">
      <c r="A119" s="2"/>
      <c r="B119" s="419" t="s">
        <v>1361</v>
      </c>
      <c r="C119" s="417">
        <f>SUM(C120:C121)</f>
        <v>175</v>
      </c>
      <c r="D119" s="422"/>
      <c r="E119" s="417">
        <f>SUM(E120:E121)</f>
        <v>1088</v>
      </c>
      <c r="F119" s="422"/>
      <c r="G119" s="417">
        <f>SUM(G120:G121)</f>
        <v>15</v>
      </c>
      <c r="H119" s="422"/>
      <c r="I119" s="417">
        <f>SUM(I120:I121)</f>
        <v>42</v>
      </c>
      <c r="J119" s="422"/>
      <c r="K119" s="417">
        <f>SUM(K120:K121)</f>
        <v>24</v>
      </c>
      <c r="L119" s="422"/>
      <c r="M119" s="414"/>
      <c r="N119" s="2"/>
      <c r="O119" s="2"/>
      <c r="Q119" s="2"/>
      <c r="R119" s="2"/>
    </row>
    <row r="120" spans="1:18" ht="12.75">
      <c r="A120" s="2"/>
      <c r="B120" s="418" t="s">
        <v>1367</v>
      </c>
      <c r="C120" s="424">
        <f>+Ulaz!F168</f>
        <v>172</v>
      </c>
      <c r="D120" s="422"/>
      <c r="E120" s="424">
        <f>+Ulaz!J168</f>
        <v>1088</v>
      </c>
      <c r="F120" s="422"/>
      <c r="G120" s="424">
        <f>+Ulaz!N168</f>
        <v>15</v>
      </c>
      <c r="H120" s="422"/>
      <c r="I120" s="424">
        <f>+Ulaz!R168</f>
        <v>42</v>
      </c>
      <c r="J120" s="422"/>
      <c r="K120" s="424">
        <f>+Ulaz!V168</f>
        <v>24</v>
      </c>
      <c r="L120" s="422"/>
      <c r="M120" s="414"/>
      <c r="N120" s="2"/>
      <c r="O120" s="2"/>
      <c r="Q120" s="2"/>
      <c r="R120" s="2"/>
    </row>
    <row r="121" spans="1:18" ht="12.75">
      <c r="A121" s="2"/>
      <c r="B121" s="418" t="s">
        <v>1386</v>
      </c>
      <c r="C121" s="424">
        <f>+Ulaz!F169+Ulaz!F170+Ulaz!F167</f>
        <v>3</v>
      </c>
      <c r="D121" s="422"/>
      <c r="E121" s="424">
        <f>+Ulaz!J169+Ulaz!J170+Ulaz!J167</f>
        <v>0</v>
      </c>
      <c r="F121" s="422"/>
      <c r="G121" s="424">
        <f>+Ulaz!N169+Ulaz!N170+Ulaz!N167</f>
        <v>0</v>
      </c>
      <c r="H121" s="422"/>
      <c r="I121" s="424">
        <f>+Ulaz!R169+Ulaz!R170+Ulaz!R167</f>
        <v>0</v>
      </c>
      <c r="J121" s="422"/>
      <c r="K121" s="424">
        <f>+Ulaz!V169+Ulaz!V170+Ulaz!V167</f>
        <v>0</v>
      </c>
      <c r="L121" s="422"/>
      <c r="M121" s="414"/>
      <c r="N121" s="2"/>
      <c r="O121" s="2"/>
      <c r="Q121" s="2"/>
      <c r="R121" s="2"/>
    </row>
    <row r="122" spans="1:18" ht="12.75">
      <c r="A122" s="2"/>
      <c r="B122" s="419" t="s">
        <v>1362</v>
      </c>
      <c r="C122" s="417">
        <f>+Ulaz!F171</f>
        <v>1005</v>
      </c>
      <c r="D122" s="422"/>
      <c r="E122" s="417">
        <f>+Ulaz!J171</f>
        <v>1664</v>
      </c>
      <c r="F122" s="422"/>
      <c r="G122" s="417">
        <f>+Ulaz!N171</f>
        <v>43</v>
      </c>
      <c r="H122" s="422"/>
      <c r="I122" s="417">
        <f>+Ulaz!R171</f>
        <v>20</v>
      </c>
      <c r="J122" s="422"/>
      <c r="K122" s="417">
        <f>+Ulaz!V171</f>
        <v>96</v>
      </c>
      <c r="L122" s="422"/>
      <c r="M122" s="414"/>
      <c r="N122" s="2"/>
      <c r="O122" s="2"/>
      <c r="Q122" s="2"/>
      <c r="R122" s="2"/>
    </row>
    <row r="123" spans="1:18" ht="12.75">
      <c r="A123" s="2"/>
      <c r="B123" s="418" t="s">
        <v>1371</v>
      </c>
      <c r="C123" s="429">
        <f>+Ulaz!F173</f>
        <v>853</v>
      </c>
      <c r="D123" s="422"/>
      <c r="E123" s="429">
        <f>+Ulaz!J173</f>
        <v>1664</v>
      </c>
      <c r="F123" s="422"/>
      <c r="G123" s="429">
        <f>+Ulaz!N173</f>
        <v>43</v>
      </c>
      <c r="H123" s="422"/>
      <c r="I123" s="429">
        <f>+Ulaz!R173</f>
        <v>20</v>
      </c>
      <c r="J123" s="422"/>
      <c r="K123" s="429">
        <f>+Ulaz!V173</f>
        <v>96</v>
      </c>
      <c r="L123" s="422"/>
      <c r="M123" s="414"/>
      <c r="N123" s="2"/>
      <c r="O123" s="2"/>
      <c r="Q123" s="2"/>
      <c r="R123" s="2"/>
    </row>
    <row r="124" spans="1:18" ht="12.75">
      <c r="A124" s="2"/>
      <c r="B124" s="418" t="s">
        <v>1387</v>
      </c>
      <c r="C124" s="429">
        <f>+C122-C123</f>
        <v>152</v>
      </c>
      <c r="D124" s="422"/>
      <c r="E124" s="429">
        <f>+E122-E123</f>
        <v>0</v>
      </c>
      <c r="F124" s="422"/>
      <c r="G124" s="429">
        <f>+G122-G123</f>
        <v>0</v>
      </c>
      <c r="H124" s="422"/>
      <c r="I124" s="429">
        <f>+I122-I123</f>
        <v>0</v>
      </c>
      <c r="J124" s="422"/>
      <c r="K124" s="429">
        <f>+K122-K123</f>
        <v>0</v>
      </c>
      <c r="L124" s="422"/>
      <c r="M124" s="414"/>
      <c r="N124" s="2"/>
      <c r="O124" s="2"/>
      <c r="Q124" s="2"/>
      <c r="R124" s="2"/>
    </row>
    <row r="125" spans="1:18" ht="12.75">
      <c r="A125" s="2"/>
      <c r="B125" s="419" t="s">
        <v>1388</v>
      </c>
      <c r="C125" s="417">
        <f>C119-C122</f>
        <v>-830</v>
      </c>
      <c r="D125" s="422"/>
      <c r="E125" s="417">
        <f>E119-E122</f>
        <v>-576</v>
      </c>
      <c r="F125" s="422"/>
      <c r="G125" s="417">
        <f>G119-G122</f>
        <v>-28</v>
      </c>
      <c r="H125" s="422"/>
      <c r="I125" s="417">
        <f>I119-I122</f>
        <v>22</v>
      </c>
      <c r="J125" s="422"/>
      <c r="K125" s="417">
        <f>K119-K122</f>
        <v>-72</v>
      </c>
      <c r="L125" s="422"/>
      <c r="M125" s="414"/>
      <c r="N125" s="2"/>
      <c r="O125" s="2"/>
      <c r="Q125" s="2"/>
      <c r="R125" s="2"/>
    </row>
    <row r="126" spans="1:18" ht="12.75">
      <c r="A126" s="2"/>
      <c r="B126" s="419" t="s">
        <v>1363</v>
      </c>
      <c r="C126" s="417">
        <f>C125+C118</f>
        <v>1779</v>
      </c>
      <c r="D126" s="420">
        <f>C126/$C$103</f>
        <v>0.017692514246501777</v>
      </c>
      <c r="E126" s="417">
        <f>E125+E118</f>
        <v>-4181</v>
      </c>
      <c r="F126" s="420">
        <f>E126/$E$103</f>
        <v>-0.09699570815450644</v>
      </c>
      <c r="G126" s="417">
        <f>G125+G118</f>
        <v>235</v>
      </c>
      <c r="H126" s="420">
        <f>G126/$G$103</f>
        <v>0.009339480168508068</v>
      </c>
      <c r="I126" s="417">
        <f>I125+I118</f>
        <v>-947</v>
      </c>
      <c r="J126" s="420">
        <f>I126/$I$103</f>
        <v>-0.0953291725387558</v>
      </c>
      <c r="K126" s="417">
        <f>K125+K118</f>
        <v>-139</v>
      </c>
      <c r="L126" s="420">
        <f>K126/$K$103</f>
        <v>-0.013559652716808116</v>
      </c>
      <c r="M126" s="414"/>
      <c r="N126" s="2"/>
      <c r="O126" s="2"/>
      <c r="Q126" s="2"/>
      <c r="R126" s="2"/>
    </row>
    <row r="127" spans="1:18" ht="12.75">
      <c r="A127" s="2"/>
      <c r="B127" s="419" t="s">
        <v>1364</v>
      </c>
      <c r="C127" s="417">
        <f>+Ulaz!F212</f>
        <v>0</v>
      </c>
      <c r="D127" s="420">
        <f>C127/$C$103</f>
        <v>0</v>
      </c>
      <c r="E127" s="417">
        <f>+Ulaz!J212</f>
        <v>0</v>
      </c>
      <c r="F127" s="420">
        <f>E127/$E$103</f>
        <v>0</v>
      </c>
      <c r="G127" s="417">
        <f>+Ulaz!N212</f>
        <v>0</v>
      </c>
      <c r="H127" s="420">
        <f>G127/$G$103</f>
        <v>0</v>
      </c>
      <c r="I127" s="417">
        <f>+Ulaz!R212</f>
        <v>0</v>
      </c>
      <c r="J127" s="420">
        <f>I127/$I$103</f>
        <v>0</v>
      </c>
      <c r="K127" s="417">
        <f>+Ulaz!V212</f>
        <v>0</v>
      </c>
      <c r="L127" s="420">
        <f>K127/$K$103</f>
        <v>0</v>
      </c>
      <c r="M127" s="414"/>
      <c r="N127" s="2"/>
      <c r="O127" s="2"/>
      <c r="Q127" s="2"/>
      <c r="R127" s="2"/>
    </row>
    <row r="128" spans="1:18" ht="12.75">
      <c r="A128" s="2"/>
      <c r="B128" s="419" t="s">
        <v>313</v>
      </c>
      <c r="C128" s="417">
        <f>C126-C127</f>
        <v>1779</v>
      </c>
      <c r="D128" s="420">
        <f>C128/$C$103</f>
        <v>0.017692514246501777</v>
      </c>
      <c r="E128" s="417">
        <f>E126-E127</f>
        <v>-4181</v>
      </c>
      <c r="F128" s="420">
        <f>E128/$E$103</f>
        <v>-0.09699570815450644</v>
      </c>
      <c r="G128" s="417">
        <f>G126-G127</f>
        <v>235</v>
      </c>
      <c r="H128" s="420">
        <f>G128/$G$103</f>
        <v>0.009339480168508068</v>
      </c>
      <c r="I128" s="417">
        <f>I126-I127</f>
        <v>-947</v>
      </c>
      <c r="J128" s="420">
        <f>I128/$I$103</f>
        <v>-0.0953291725387558</v>
      </c>
      <c r="K128" s="417">
        <f>K126-K127</f>
        <v>-139</v>
      </c>
      <c r="L128" s="420">
        <f>K128/$K$103</f>
        <v>-0.013559652716808116</v>
      </c>
      <c r="M128" s="414"/>
      <c r="N128" s="2"/>
      <c r="O128" s="2"/>
      <c r="Q128" s="2"/>
      <c r="R128" s="2"/>
    </row>
    <row r="129" spans="1:18" ht="12.75">
      <c r="A129" s="2"/>
      <c r="B129" s="419" t="s">
        <v>1368</v>
      </c>
      <c r="C129" s="424">
        <f>+Ulaz!F179</f>
        <v>190</v>
      </c>
      <c r="D129" s="438"/>
      <c r="E129" s="424">
        <f>+Ulaz!J179</f>
        <v>126</v>
      </c>
      <c r="F129" s="438"/>
      <c r="G129" s="424">
        <f>+Ulaz!N179</f>
        <v>188</v>
      </c>
      <c r="H129" s="438"/>
      <c r="I129" s="424">
        <f>+Ulaz!R179</f>
        <v>15</v>
      </c>
      <c r="J129" s="438"/>
      <c r="K129" s="424">
        <f>+Ulaz!V179</f>
        <v>67</v>
      </c>
      <c r="L129" s="438"/>
      <c r="M129" s="414"/>
      <c r="N129" s="2"/>
      <c r="O129" s="2"/>
      <c r="Q129" s="2"/>
      <c r="R129" s="2"/>
    </row>
    <row r="130" spans="1:18" ht="12.75">
      <c r="A130" s="2"/>
      <c r="B130" s="419" t="s">
        <v>1369</v>
      </c>
      <c r="C130" s="424">
        <f>+Ulaz!F187</f>
        <v>1277</v>
      </c>
      <c r="D130" s="438"/>
      <c r="E130" s="424">
        <f>+Ulaz!J187</f>
        <v>167</v>
      </c>
      <c r="F130" s="438"/>
      <c r="G130" s="424">
        <f>+Ulaz!N187</f>
        <v>0</v>
      </c>
      <c r="H130" s="438"/>
      <c r="I130" s="424">
        <f>+Ulaz!R187</f>
        <v>16</v>
      </c>
      <c r="J130" s="438"/>
      <c r="K130" s="424">
        <f>+Ulaz!V187</f>
        <v>10</v>
      </c>
      <c r="L130" s="438"/>
      <c r="M130" s="414"/>
      <c r="N130" s="2"/>
      <c r="O130" s="2"/>
      <c r="Q130" s="2"/>
      <c r="R130" s="2"/>
    </row>
    <row r="131" spans="1:18" ht="12.75">
      <c r="A131" s="2"/>
      <c r="B131" s="419" t="s">
        <v>1389</v>
      </c>
      <c r="C131" s="417">
        <f>C129-C130</f>
        <v>-1087</v>
      </c>
      <c r="D131" s="438"/>
      <c r="E131" s="417">
        <f>E129-E130</f>
        <v>-41</v>
      </c>
      <c r="F131" s="438"/>
      <c r="G131" s="417">
        <f>G129-G130</f>
        <v>188</v>
      </c>
      <c r="H131" s="438"/>
      <c r="I131" s="417">
        <f>I129-I130</f>
        <v>-1</v>
      </c>
      <c r="J131" s="438"/>
      <c r="K131" s="417">
        <f>K129-K130</f>
        <v>57</v>
      </c>
      <c r="L131" s="438"/>
      <c r="M131" s="414"/>
      <c r="N131" s="2"/>
      <c r="O131" s="2"/>
      <c r="Q131" s="2"/>
      <c r="R131" s="2"/>
    </row>
    <row r="132" spans="1:18" ht="12.75">
      <c r="A132" s="2"/>
      <c r="B132" s="419" t="s">
        <v>1390</v>
      </c>
      <c r="C132" s="424">
        <f>+Ulaz!F198</f>
        <v>0</v>
      </c>
      <c r="D132" s="438"/>
      <c r="E132" s="424">
        <f>+Ulaz!J198</f>
        <v>0</v>
      </c>
      <c r="F132" s="438"/>
      <c r="G132" s="424">
        <f>+Ulaz!N198</f>
        <v>16807</v>
      </c>
      <c r="H132" s="438"/>
      <c r="I132" s="424">
        <f>+Ulaz!R198</f>
        <v>5139</v>
      </c>
      <c r="J132" s="438"/>
      <c r="K132" s="424">
        <f>+Ulaz!V198</f>
        <v>3981</v>
      </c>
      <c r="L132" s="438"/>
      <c r="M132" s="414"/>
      <c r="N132" s="2"/>
      <c r="O132" s="2"/>
      <c r="Q132" s="2"/>
      <c r="R132" s="2"/>
    </row>
    <row r="133" spans="1:18" ht="12.75">
      <c r="A133" s="2"/>
      <c r="B133" s="419" t="s">
        <v>1391</v>
      </c>
      <c r="C133" s="424">
        <f>+Ulaz!F202</f>
        <v>0</v>
      </c>
      <c r="D133" s="438"/>
      <c r="E133" s="424">
        <f>+Ulaz!J202</f>
        <v>0</v>
      </c>
      <c r="F133" s="438"/>
      <c r="G133" s="424">
        <f>+Ulaz!N202</f>
        <v>20399</v>
      </c>
      <c r="H133" s="438"/>
      <c r="I133" s="424">
        <f>+Ulaz!R202</f>
        <v>6921</v>
      </c>
      <c r="J133" s="438"/>
      <c r="K133" s="424">
        <f>+Ulaz!V202</f>
        <v>5659</v>
      </c>
      <c r="L133" s="438"/>
      <c r="M133" s="414"/>
      <c r="N133" s="2"/>
      <c r="O133" s="2"/>
      <c r="Q133" s="2"/>
      <c r="R133" s="2"/>
    </row>
    <row r="134" spans="1:18" ht="12.75">
      <c r="A134" s="2"/>
      <c r="B134" s="419" t="s">
        <v>1365</v>
      </c>
      <c r="C134" s="417">
        <f>C132-C133</f>
        <v>0</v>
      </c>
      <c r="D134" s="438"/>
      <c r="E134" s="417">
        <f>E132-E133</f>
        <v>0</v>
      </c>
      <c r="F134" s="438"/>
      <c r="G134" s="417">
        <f>G132-G133</f>
        <v>-3592</v>
      </c>
      <c r="H134" s="438"/>
      <c r="I134" s="417">
        <f>I132-I133</f>
        <v>-1782</v>
      </c>
      <c r="J134" s="438"/>
      <c r="K134" s="417">
        <f>K132-K133</f>
        <v>-1678</v>
      </c>
      <c r="L134" s="438"/>
      <c r="M134" s="414"/>
      <c r="N134" s="2"/>
      <c r="O134" s="2"/>
      <c r="Q134" s="2"/>
      <c r="R134" s="2"/>
    </row>
    <row r="135" spans="1:18" ht="12.75">
      <c r="A135" s="2"/>
      <c r="B135" s="419" t="s">
        <v>1366</v>
      </c>
      <c r="C135" s="417">
        <f>C134+C131+C128</f>
        <v>692</v>
      </c>
      <c r="D135" s="420">
        <f>C135/$C$103</f>
        <v>0.006882079740629134</v>
      </c>
      <c r="E135" s="417">
        <f>E134+E131+E128</f>
        <v>-4222</v>
      </c>
      <c r="F135" s="420">
        <f>E135/$E$103</f>
        <v>-0.09794687391253915</v>
      </c>
      <c r="G135" s="417">
        <f>G134+G131+G128</f>
        <v>-3169</v>
      </c>
      <c r="H135" s="420">
        <f>G135/$G$103</f>
        <v>-0.12594388363405135</v>
      </c>
      <c r="I135" s="417">
        <f>I134+I131+I128</f>
        <v>-2730</v>
      </c>
      <c r="J135" s="420">
        <f>I135/$I$103</f>
        <v>-0.27481377088785985</v>
      </c>
      <c r="K135" s="417">
        <f>K134+K131+K128</f>
        <v>-1760</v>
      </c>
      <c r="L135" s="420">
        <f>K135/$K$103</f>
        <v>-0.17169056677397326</v>
      </c>
      <c r="M135" s="414"/>
      <c r="N135" s="2"/>
      <c r="O135" s="2"/>
      <c r="Q135" s="2"/>
      <c r="R135" s="2"/>
    </row>
    <row r="136" spans="1:18" ht="12.75">
      <c r="A136" s="2"/>
      <c r="B136" s="2"/>
      <c r="C136" s="2"/>
      <c r="D136" s="2"/>
      <c r="E136" s="2"/>
      <c r="F136" s="2"/>
      <c r="G136" s="12"/>
      <c r="H136" s="2"/>
      <c r="I136" s="2"/>
      <c r="J136" s="2"/>
      <c r="K136" s="2"/>
      <c r="L136" s="2"/>
      <c r="M136" s="414"/>
      <c r="N136" s="2"/>
      <c r="O136" s="2"/>
      <c r="Q136" s="2"/>
      <c r="R136" s="2"/>
    </row>
    <row r="137" spans="1:18" ht="12.75">
      <c r="A137" s="2"/>
      <c r="B137" s="1" t="s">
        <v>1372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414"/>
      <c r="N137" s="2"/>
      <c r="O137" s="2"/>
      <c r="Q137" s="2"/>
      <c r="R137" s="2"/>
    </row>
    <row r="138" spans="1:18" ht="13.5" thickBo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414"/>
      <c r="N138" s="2"/>
      <c r="O138" s="2"/>
      <c r="Q138" s="2"/>
      <c r="R138" s="2"/>
    </row>
    <row r="139" spans="1:18" ht="14.25" thickBot="1" thickTop="1">
      <c r="A139" s="2"/>
      <c r="B139" s="318"/>
      <c r="C139" s="19" t="s">
        <v>934</v>
      </c>
      <c r="D139" s="19" t="s">
        <v>326</v>
      </c>
      <c r="E139" s="19" t="s">
        <v>286</v>
      </c>
      <c r="F139" s="19" t="s">
        <v>287</v>
      </c>
      <c r="G139" s="19"/>
      <c r="H139" s="2"/>
      <c r="I139" s="2"/>
      <c r="J139" s="2"/>
      <c r="K139" s="2"/>
      <c r="L139" s="2"/>
      <c r="M139" s="414"/>
      <c r="N139" s="2"/>
      <c r="O139" s="2"/>
      <c r="Q139" s="2"/>
      <c r="R139" s="2"/>
    </row>
    <row r="140" spans="1:18" ht="13.5" thickTop="1">
      <c r="A140" s="2"/>
      <c r="B140" s="20"/>
      <c r="C140" s="21"/>
      <c r="D140" s="21"/>
      <c r="E140" s="21"/>
      <c r="F140" s="21"/>
      <c r="G140" s="21"/>
      <c r="H140" s="2"/>
      <c r="I140" s="2"/>
      <c r="J140" s="2"/>
      <c r="K140" s="2"/>
      <c r="L140" s="2"/>
      <c r="M140" s="414"/>
      <c r="N140" s="2"/>
      <c r="O140" s="2"/>
      <c r="Q140" s="2"/>
      <c r="R140" s="2"/>
    </row>
    <row r="141" spans="1:18" ht="12.75">
      <c r="A141" s="2"/>
      <c r="B141" s="2" t="s">
        <v>289</v>
      </c>
      <c r="C141" s="24">
        <f>(C103/E103)-100%</f>
        <v>1.3326992228279781</v>
      </c>
      <c r="D141" s="24">
        <f>(E103/G103)-100%</f>
        <v>0.7130991177171926</v>
      </c>
      <c r="E141" s="24">
        <f>(G103/I103)-100%</f>
        <v>1.5329172538755786</v>
      </c>
      <c r="F141" s="24">
        <f>(I103/K103)-100%</f>
        <v>-0.03092381231099406</v>
      </c>
      <c r="G141" s="10"/>
      <c r="H141" s="2"/>
      <c r="I141" s="2"/>
      <c r="J141" s="2"/>
      <c r="K141" s="2"/>
      <c r="L141" s="2"/>
      <c r="M141" s="414"/>
      <c r="N141" s="2"/>
      <c r="O141" s="2"/>
      <c r="Q141" s="2"/>
      <c r="R141" s="2"/>
    </row>
    <row r="142" spans="1:18" ht="12.75" hidden="1">
      <c r="A142" s="2"/>
      <c r="B142" s="14" t="s">
        <v>1384</v>
      </c>
      <c r="C142" s="25">
        <v>25.66</v>
      </c>
      <c r="D142" s="25">
        <v>12.45</v>
      </c>
      <c r="E142" s="25">
        <v>6.33</v>
      </c>
      <c r="F142" s="25">
        <v>3.91</v>
      </c>
      <c r="G142" s="25"/>
      <c r="H142" s="2"/>
      <c r="I142" s="2"/>
      <c r="J142" s="2"/>
      <c r="K142" s="2"/>
      <c r="L142" s="2"/>
      <c r="M142" s="414"/>
      <c r="N142" s="2"/>
      <c r="O142" s="2"/>
      <c r="Q142" s="2"/>
      <c r="R142" s="2"/>
    </row>
    <row r="143" spans="1:18" ht="12.75" hidden="1">
      <c r="A143" s="2"/>
      <c r="B143" s="14" t="s">
        <v>290</v>
      </c>
      <c r="C143" s="26">
        <f>C103/C142</f>
        <v>3918.58924395947</v>
      </c>
      <c r="D143" s="26">
        <f>E103/D142</f>
        <v>3462.248995983936</v>
      </c>
      <c r="E143" s="26">
        <f>G103/E142</f>
        <v>3975.039494470774</v>
      </c>
      <c r="F143" s="26">
        <f>I103/F142</f>
        <v>2540.6649616368286</v>
      </c>
      <c r="G143" s="26"/>
      <c r="H143" s="2"/>
      <c r="I143" s="2"/>
      <c r="J143" s="2"/>
      <c r="K143" s="2"/>
      <c r="L143" s="2"/>
      <c r="M143" s="414"/>
      <c r="N143" s="2"/>
      <c r="O143" s="2"/>
      <c r="Q143" s="2"/>
      <c r="R143" s="2"/>
    </row>
    <row r="144" spans="1:18" ht="12.75">
      <c r="A144" s="2"/>
      <c r="B144" s="14" t="s">
        <v>288</v>
      </c>
      <c r="C144" s="24">
        <f>(C103/C147)/E103-100%</f>
        <v>0.23488577174588587</v>
      </c>
      <c r="D144" s="24">
        <f>(E103/D147)/G103-100%</f>
        <v>-0.026648228569777</v>
      </c>
      <c r="E144" s="24">
        <f>(G103/E147)/I103-100%</f>
        <v>0.783744544982802</v>
      </c>
      <c r="F144" s="24">
        <f>(I103/F147)/K103-100%</f>
        <v>-0.25455677870076476</v>
      </c>
      <c r="G144" s="24"/>
      <c r="H144" s="2"/>
      <c r="I144" s="2"/>
      <c r="J144" s="2"/>
      <c r="K144" s="2"/>
      <c r="L144" s="2"/>
      <c r="M144" s="414"/>
      <c r="N144" s="2"/>
      <c r="O144" s="2"/>
      <c r="Q144" s="2"/>
      <c r="R144" s="2"/>
    </row>
    <row r="145" spans="1:18" ht="13.5" thickBot="1">
      <c r="A145" s="2"/>
      <c r="B145" s="23"/>
      <c r="C145" s="321"/>
      <c r="D145" s="321"/>
      <c r="E145" s="321"/>
      <c r="F145" s="321"/>
      <c r="G145" s="321"/>
      <c r="H145" s="2"/>
      <c r="I145" s="2"/>
      <c r="J145" s="2"/>
      <c r="K145" s="2"/>
      <c r="L145" s="2"/>
      <c r="M145" s="414"/>
      <c r="N145" s="2"/>
      <c r="O145" s="2"/>
      <c r="Q145" s="2"/>
      <c r="R145" s="2"/>
    </row>
    <row r="146" spans="1:18" ht="13.5" thickTop="1">
      <c r="A146" s="2"/>
      <c r="B146" s="20"/>
      <c r="C146" s="322"/>
      <c r="D146" s="322"/>
      <c r="E146" s="322"/>
      <c r="F146" s="322"/>
      <c r="G146" s="322"/>
      <c r="H146" s="2"/>
      <c r="I146" s="2"/>
      <c r="J146" s="2"/>
      <c r="K146" s="2"/>
      <c r="L146" s="2"/>
      <c r="M146" s="414"/>
      <c r="N146" s="2"/>
      <c r="O146" s="2"/>
      <c r="Q146" s="2"/>
      <c r="R146" s="2"/>
    </row>
    <row r="147" spans="1:18" ht="12.75">
      <c r="A147" s="2"/>
      <c r="B147" s="2" t="s">
        <v>321</v>
      </c>
      <c r="C147" s="323">
        <v>1.889</v>
      </c>
      <c r="D147" s="323">
        <v>1.76</v>
      </c>
      <c r="E147" s="323">
        <v>1.42</v>
      </c>
      <c r="F147" s="323">
        <v>1.3</v>
      </c>
      <c r="G147" s="2"/>
      <c r="H147" s="2"/>
      <c r="I147" s="2"/>
      <c r="J147" s="2"/>
      <c r="K147" s="2"/>
      <c r="L147" s="2"/>
      <c r="M147" s="414"/>
      <c r="N147" s="2"/>
      <c r="O147" s="2"/>
      <c r="Q147" s="2"/>
      <c r="R147" s="2"/>
    </row>
    <row r="148" spans="1:18" ht="12.75">
      <c r="A148" s="2"/>
      <c r="B148" s="2"/>
      <c r="C148" s="324"/>
      <c r="D148" s="324"/>
      <c r="E148" s="324"/>
      <c r="F148" s="324"/>
      <c r="G148" s="2"/>
      <c r="H148" s="2"/>
      <c r="I148" s="2"/>
      <c r="J148" s="2"/>
      <c r="K148" s="2"/>
      <c r="L148" s="2"/>
      <c r="M148" s="414"/>
      <c r="N148" s="2"/>
      <c r="O148" s="2"/>
      <c r="Q148" s="2"/>
      <c r="R148" s="2"/>
    </row>
    <row r="149" spans="1:18" ht="12.75">
      <c r="A149" s="2"/>
      <c r="B149" s="1" t="s">
        <v>1381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414"/>
      <c r="N149" s="2"/>
      <c r="O149" s="2"/>
      <c r="Q149" s="2"/>
      <c r="R149" s="2"/>
    </row>
    <row r="150" spans="1:18" ht="13.5" thickBo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414"/>
      <c r="N150" s="2"/>
      <c r="O150" s="2"/>
      <c r="Q150" s="2"/>
      <c r="R150" s="2"/>
    </row>
    <row r="151" spans="1:18" ht="14.25" thickBot="1" thickTop="1">
      <c r="A151" s="2"/>
      <c r="B151" s="318"/>
      <c r="C151" s="19" t="str">
        <f>+C139</f>
        <v>2002/2001</v>
      </c>
      <c r="D151" s="19" t="str">
        <f>+D139</f>
        <v>2001/2000</v>
      </c>
      <c r="E151" s="19" t="str">
        <f>+E139</f>
        <v>2000/1999</v>
      </c>
      <c r="F151" s="19" t="str">
        <f>+F139</f>
        <v>1999/1998</v>
      </c>
      <c r="G151" s="19"/>
      <c r="H151" s="2"/>
      <c r="I151" s="2"/>
      <c r="J151" s="2"/>
      <c r="K151" s="2"/>
      <c r="L151" s="2"/>
      <c r="M151" s="414"/>
      <c r="N151" s="2"/>
      <c r="O151" s="2"/>
      <c r="Q151" s="2"/>
      <c r="R151" s="2"/>
    </row>
    <row r="152" spans="1:18" ht="13.5" thickTop="1">
      <c r="A152" s="2"/>
      <c r="B152" s="20"/>
      <c r="C152" s="21"/>
      <c r="D152" s="21"/>
      <c r="E152" s="21"/>
      <c r="F152" s="21"/>
      <c r="G152" s="21"/>
      <c r="H152" s="2"/>
      <c r="I152" s="2"/>
      <c r="J152" s="2"/>
      <c r="K152" s="2"/>
      <c r="L152" s="2"/>
      <c r="M152" s="414"/>
      <c r="N152" s="2"/>
      <c r="O152" s="2"/>
      <c r="Q152" s="2"/>
      <c r="R152" s="2"/>
    </row>
    <row r="153" spans="1:18" ht="12.75">
      <c r="A153" s="2"/>
      <c r="B153" s="2" t="s">
        <v>1376</v>
      </c>
      <c r="C153" s="27">
        <f>(C104/E104)-100%</f>
        <v>1.350650876450961</v>
      </c>
      <c r="D153" s="27">
        <f>(E104/G104)-100%</f>
        <v>0.7027286548771705</v>
      </c>
      <c r="E153" s="27">
        <f>(G104/I104)-100%</f>
        <v>1.5679646563238467</v>
      </c>
      <c r="F153" s="27">
        <f>(I104/K104)-100%</f>
        <v>-0.04353380503144655</v>
      </c>
      <c r="G153" s="10"/>
      <c r="H153" s="2"/>
      <c r="I153" s="2"/>
      <c r="J153" s="2"/>
      <c r="K153" s="2"/>
      <c r="L153" s="2"/>
      <c r="M153" s="414"/>
      <c r="N153" s="2"/>
      <c r="O153" s="2"/>
      <c r="Q153" s="2"/>
      <c r="R153" s="2"/>
    </row>
    <row r="154" spans="1:18" ht="12.75">
      <c r="A154" s="2"/>
      <c r="B154" s="14" t="s">
        <v>1375</v>
      </c>
      <c r="C154" s="28">
        <f>C104/C147/E104-100%</f>
        <v>0.24438902935466422</v>
      </c>
      <c r="D154" s="28">
        <f>E104/D147/G104-100%</f>
        <v>-0.03254053700160764</v>
      </c>
      <c r="E154" s="28">
        <f>G103/E147/I103-100%</f>
        <v>0.783744544982802</v>
      </c>
      <c r="F154" s="28">
        <f>I104/F147/K104-100%</f>
        <v>-0.26425677310111284</v>
      </c>
      <c r="G154" s="28"/>
      <c r="H154" s="2"/>
      <c r="I154" s="2"/>
      <c r="J154" s="2"/>
      <c r="K154" s="2"/>
      <c r="L154" s="2"/>
      <c r="M154" s="414"/>
      <c r="N154" s="2"/>
      <c r="O154" s="2"/>
      <c r="Q154" s="2"/>
      <c r="R154" s="2"/>
    </row>
    <row r="155" spans="1:18" ht="12.75">
      <c r="A155" s="2"/>
      <c r="B155" s="2" t="s">
        <v>1373</v>
      </c>
      <c r="C155" s="27" t="e">
        <f>(C105/E105)-100%</f>
        <v>#DIV/0!</v>
      </c>
      <c r="D155" s="27" t="e">
        <f>(E105/G105)-100%</f>
        <v>#DIV/0!</v>
      </c>
      <c r="E155" s="27" t="e">
        <f>(G105/I105)-100%</f>
        <v>#DIV/0!</v>
      </c>
      <c r="F155" s="27" t="e">
        <f>(I105/K105)-100%</f>
        <v>#DIV/0!</v>
      </c>
      <c r="G155" s="10"/>
      <c r="H155" s="2"/>
      <c r="I155" s="2"/>
      <c r="J155" s="2"/>
      <c r="K155" s="2"/>
      <c r="L155" s="2"/>
      <c r="M155" s="414"/>
      <c r="N155" s="2"/>
      <c r="O155" s="2"/>
      <c r="Q155" s="2"/>
      <c r="R155" s="2"/>
    </row>
    <row r="156" spans="1:18" ht="13.5" thickBot="1">
      <c r="A156" s="2"/>
      <c r="B156" s="325" t="s">
        <v>1374</v>
      </c>
      <c r="C156" s="29" t="e">
        <f>C105/C147/E105-100%</f>
        <v>#DIV/0!</v>
      </c>
      <c r="D156" s="29" t="e">
        <f>E105/D147/G105-100%</f>
        <v>#DIV/0!</v>
      </c>
      <c r="E156" s="29" t="e">
        <f>G105/E147/I105-100%</f>
        <v>#DIV/0!</v>
      </c>
      <c r="F156" s="29" t="e">
        <f>I105/F147/K105-100%</f>
        <v>#DIV/0!</v>
      </c>
      <c r="G156" s="326"/>
      <c r="H156" s="2"/>
      <c r="I156" s="2"/>
      <c r="J156" s="2"/>
      <c r="K156" s="2"/>
      <c r="L156" s="2"/>
      <c r="M156" s="414"/>
      <c r="N156" s="2"/>
      <c r="O156" s="2"/>
      <c r="Q156" s="2"/>
      <c r="R156" s="2"/>
    </row>
    <row r="157" spans="1:18" ht="13.5" thickTop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414"/>
      <c r="N157" s="2"/>
      <c r="O157" s="2"/>
      <c r="Q157" s="2"/>
      <c r="R157" s="2"/>
    </row>
    <row r="158" spans="1:1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414"/>
      <c r="N158" s="2"/>
      <c r="O158" s="2"/>
      <c r="Q158" s="2"/>
      <c r="R158" s="2"/>
    </row>
    <row r="159" spans="1:18" ht="12.75">
      <c r="A159" s="2"/>
      <c r="B159" s="1" t="s">
        <v>1382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414"/>
      <c r="N159" s="2"/>
      <c r="O159" s="2"/>
      <c r="Q159" s="2"/>
      <c r="R159" s="2"/>
    </row>
    <row r="160" spans="1:18" ht="13.5" thickBo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414"/>
      <c r="N160" s="2"/>
      <c r="O160" s="2"/>
      <c r="Q160" s="2"/>
      <c r="R160" s="2"/>
    </row>
    <row r="161" spans="1:18" ht="14.25" thickBot="1" thickTop="1">
      <c r="A161" s="2"/>
      <c r="B161" s="318"/>
      <c r="C161" s="440">
        <f>+C91</f>
        <v>2002</v>
      </c>
      <c r="D161" s="440">
        <f>+D91</f>
        <v>2001</v>
      </c>
      <c r="E161" s="440">
        <f>+E91</f>
        <v>2000</v>
      </c>
      <c r="F161" s="440">
        <f>+F91</f>
        <v>1999</v>
      </c>
      <c r="G161" s="19" t="s">
        <v>291</v>
      </c>
      <c r="H161" s="2"/>
      <c r="I161" s="2"/>
      <c r="J161" s="2"/>
      <c r="K161" s="2"/>
      <c r="L161" s="2"/>
      <c r="M161" s="414"/>
      <c r="N161" s="2"/>
      <c r="O161" s="2"/>
      <c r="Q161" s="2"/>
      <c r="R161" s="2"/>
    </row>
    <row r="162" spans="1:18" ht="13.5" thickTop="1">
      <c r="A162" s="2"/>
      <c r="B162" s="20"/>
      <c r="C162" s="21"/>
      <c r="D162" s="21"/>
      <c r="E162" s="21"/>
      <c r="F162" s="21"/>
      <c r="G162" s="21"/>
      <c r="H162" s="2"/>
      <c r="I162" s="2"/>
      <c r="J162" s="2"/>
      <c r="K162" s="2"/>
      <c r="L162" s="2"/>
      <c r="M162" s="414"/>
      <c r="N162" s="2"/>
      <c r="O162" s="2"/>
      <c r="Q162" s="2"/>
      <c r="R162" s="2"/>
    </row>
    <row r="163" spans="1:18" ht="12.75">
      <c r="A163" s="2"/>
      <c r="B163" s="2" t="s">
        <v>1377</v>
      </c>
      <c r="C163" s="22">
        <f>C109/((C13+E13)/2)</f>
        <v>34.535260930888576</v>
      </c>
      <c r="D163" s="22">
        <f>((E109)/((E13+G13)/2))</f>
        <v>38.8117989198172</v>
      </c>
      <c r="E163" s="22">
        <f>((G109)/((G13+I13)/2))</f>
        <v>33.421476510067116</v>
      </c>
      <c r="F163" s="22">
        <f>((I109)/((I13+K13)/2))</f>
        <v>18.27829002514669</v>
      </c>
      <c r="G163" s="22">
        <f>AVERAGE(C163:F163)</f>
        <v>31.261706596479893</v>
      </c>
      <c r="H163" s="2"/>
      <c r="I163" s="2"/>
      <c r="J163" s="2"/>
      <c r="K163" s="2"/>
      <c r="L163" s="2"/>
      <c r="M163" s="414"/>
      <c r="N163" s="2"/>
      <c r="O163" s="2"/>
      <c r="Q163" s="2"/>
      <c r="R163" s="2"/>
    </row>
    <row r="164" spans="1:18" ht="12.75">
      <c r="A164" s="2"/>
      <c r="B164" s="2" t="s">
        <v>1378</v>
      </c>
      <c r="C164" s="22">
        <f>C103/((C11+E11)/2)</f>
        <v>7.780778457014625</v>
      </c>
      <c r="D164" s="22">
        <f>E103/((E11+G11)/2)</f>
        <v>5.088237030041905</v>
      </c>
      <c r="E164" s="22">
        <f>G103/((G11+I11)/2)</f>
        <v>4.324482254876687</v>
      </c>
      <c r="F164" s="22">
        <f>I103/((I11+K11)/2)</f>
        <v>3.0547355473554734</v>
      </c>
      <c r="G164" s="22">
        <f>AVERAGE(C164:F164)</f>
        <v>5.062058322322172</v>
      </c>
      <c r="H164" s="2"/>
      <c r="I164" s="2"/>
      <c r="J164" s="2"/>
      <c r="K164" s="2"/>
      <c r="L164" s="2"/>
      <c r="M164" s="414"/>
      <c r="N164" s="2"/>
      <c r="O164" s="2"/>
      <c r="Q164" s="2"/>
      <c r="R164" s="2"/>
    </row>
    <row r="165" spans="1:18" ht="12.75">
      <c r="A165" s="2"/>
      <c r="B165" s="2" t="s">
        <v>1383</v>
      </c>
      <c r="C165" s="22">
        <f>((C110+C111+C112+C114)/((C51+E51)/2))</f>
        <v>6.58766485647789</v>
      </c>
      <c r="D165" s="22">
        <f>((E110+E111+E112+E114)/((E51+G51)/2))</f>
        <v>8.268138801261829</v>
      </c>
      <c r="E165" s="22" t="e">
        <f>((G110+G111+G112+G114)/((G51+I51)/2))</f>
        <v>#DIV/0!</v>
      </c>
      <c r="F165" s="22" t="e">
        <f>((I110+I111+I112+I114)/((I51+K51)/2))</f>
        <v>#DIV/0!</v>
      </c>
      <c r="G165" s="22" t="e">
        <f>AVERAGE(C165:F165)</f>
        <v>#DIV/0!</v>
      </c>
      <c r="H165" s="2"/>
      <c r="I165" s="2"/>
      <c r="J165" s="2"/>
      <c r="K165" s="2"/>
      <c r="L165" s="2"/>
      <c r="M165" s="414"/>
      <c r="N165" s="2"/>
      <c r="O165" s="2"/>
      <c r="Q165" s="2"/>
      <c r="R165" s="2"/>
    </row>
    <row r="166" spans="1:18" ht="12.75">
      <c r="A166" s="2"/>
      <c r="B166" s="2" t="s">
        <v>1379</v>
      </c>
      <c r="C166" s="22">
        <f>C103/C67</f>
        <v>1.0688046089415166</v>
      </c>
      <c r="D166" s="22">
        <f>E103/E67</f>
        <v>0.6401859442761243</v>
      </c>
      <c r="E166" s="22">
        <f>G103/G67</f>
        <v>0.6230531137798687</v>
      </c>
      <c r="F166" s="22">
        <f>I103/I67</f>
        <v>0.4609530880237576</v>
      </c>
      <c r="G166" s="22">
        <f>AVERAGE(C166:F166)</f>
        <v>0.6982491887553168</v>
      </c>
      <c r="H166" s="2"/>
      <c r="I166" s="2"/>
      <c r="J166" s="2"/>
      <c r="K166" s="2"/>
      <c r="L166" s="2"/>
      <c r="M166" s="414"/>
      <c r="N166" s="2"/>
      <c r="O166" s="2"/>
      <c r="Q166" s="2"/>
      <c r="R166" s="2"/>
    </row>
    <row r="167" spans="1:18" ht="13.5" thickBot="1">
      <c r="A167" s="2"/>
      <c r="B167" s="325"/>
      <c r="C167" s="327"/>
      <c r="D167" s="327"/>
      <c r="E167" s="327"/>
      <c r="F167" s="327"/>
      <c r="G167" s="328"/>
      <c r="H167" s="2"/>
      <c r="I167" s="2"/>
      <c r="J167" s="2"/>
      <c r="K167" s="2"/>
      <c r="L167" s="2"/>
      <c r="M167" s="414"/>
      <c r="N167" s="2"/>
      <c r="O167" s="2"/>
      <c r="Q167" s="2"/>
      <c r="R167" s="2"/>
    </row>
    <row r="168" spans="1:18" ht="13.5" thickTop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414"/>
      <c r="N168" s="2"/>
      <c r="O168" s="2"/>
      <c r="Q168" s="2"/>
      <c r="R168" s="2"/>
    </row>
    <row r="169" spans="1:18" ht="12.75">
      <c r="A169" s="2"/>
      <c r="B169" s="1" t="s">
        <v>1392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414"/>
      <c r="N169" s="2"/>
      <c r="O169" s="2"/>
      <c r="Q169" s="2"/>
      <c r="R169" s="2"/>
    </row>
    <row r="170" spans="1:18" ht="13.5" thickBo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414"/>
      <c r="N170" s="2"/>
      <c r="O170" s="2"/>
      <c r="Q170" s="2"/>
      <c r="R170" s="2"/>
    </row>
    <row r="171" spans="1:18" ht="14.25" thickBot="1" thickTop="1">
      <c r="A171" s="2"/>
      <c r="B171" s="318"/>
      <c r="C171" s="440">
        <f>+C161</f>
        <v>2002</v>
      </c>
      <c r="D171" s="440">
        <f>+D161</f>
        <v>2001</v>
      </c>
      <c r="E171" s="440">
        <f>+E161</f>
        <v>2000</v>
      </c>
      <c r="F171" s="440">
        <f>+F161</f>
        <v>1999</v>
      </c>
      <c r="G171" s="440">
        <f>+F171-1</f>
        <v>1998</v>
      </c>
      <c r="H171" s="2"/>
      <c r="I171" s="2"/>
      <c r="J171" s="2"/>
      <c r="K171" s="2"/>
      <c r="L171" s="2"/>
      <c r="M171" s="414"/>
      <c r="N171" s="2"/>
      <c r="O171" s="2"/>
      <c r="Q171" s="2"/>
      <c r="R171" s="2"/>
    </row>
    <row r="172" spans="1:18" ht="13.5" thickTop="1">
      <c r="A172" s="2"/>
      <c r="B172" s="20"/>
      <c r="C172" s="21"/>
      <c r="D172" s="21"/>
      <c r="E172" s="21"/>
      <c r="F172" s="21"/>
      <c r="G172" s="21"/>
      <c r="H172" s="2"/>
      <c r="I172" s="2"/>
      <c r="J172" s="2"/>
      <c r="K172" s="2"/>
      <c r="L172" s="2"/>
      <c r="M172" s="414"/>
      <c r="N172" s="2"/>
      <c r="O172" s="2"/>
      <c r="Q172" s="2"/>
      <c r="R172" s="2"/>
    </row>
    <row r="173" spans="1:18" ht="12.75">
      <c r="A173" s="2"/>
      <c r="B173" s="2" t="s">
        <v>70</v>
      </c>
      <c r="C173" s="22">
        <f>C24/C103</f>
        <v>0.38817117681574526</v>
      </c>
      <c r="D173" s="22">
        <f>E24/E103</f>
        <v>0.7262034566755596</v>
      </c>
      <c r="E173" s="22">
        <f>G24/G103</f>
        <v>1.0739607344408235</v>
      </c>
      <c r="F173" s="22">
        <f>I24/I103</f>
        <v>1.450976444533924</v>
      </c>
      <c r="G173" s="22">
        <f>K24/K103</f>
        <v>1.0593112867037362</v>
      </c>
      <c r="H173" s="2"/>
      <c r="I173" s="2"/>
      <c r="J173" s="2"/>
      <c r="K173" s="2"/>
      <c r="L173" s="2"/>
      <c r="M173" s="414"/>
      <c r="N173" s="2"/>
      <c r="O173" s="2"/>
      <c r="Q173" s="2"/>
      <c r="R173" s="2"/>
    </row>
    <row r="174" spans="1:18" ht="12.75">
      <c r="A174" s="2"/>
      <c r="B174" s="2" t="s">
        <v>1393</v>
      </c>
      <c r="C174" s="22">
        <f>(C7-(C49-C50))/C103</f>
        <v>0.030700838380523315</v>
      </c>
      <c r="D174" s="22">
        <f>(E7-(E49-E50))/E103</f>
        <v>0.11439508177705603</v>
      </c>
      <c r="E174" s="22">
        <f>(G7-(G49-G50))/G103</f>
        <v>0.16505047293537875</v>
      </c>
      <c r="F174" s="22">
        <f>(I7-(I49-I50))/I103</f>
        <v>0.24944634588282666</v>
      </c>
      <c r="G174" s="22">
        <f>(K7-(K49-K50))/K103</f>
        <v>0.26134035703833774</v>
      </c>
      <c r="H174" s="2"/>
      <c r="I174" s="2"/>
      <c r="J174" s="2"/>
      <c r="K174" s="2"/>
      <c r="L174" s="2"/>
      <c r="M174" s="414"/>
      <c r="N174" s="2"/>
      <c r="O174" s="2"/>
      <c r="Q174" s="2"/>
      <c r="R174" s="2"/>
    </row>
    <row r="175" spans="1:18" ht="13.5" thickBot="1">
      <c r="A175" s="2"/>
      <c r="B175" s="325"/>
      <c r="C175" s="327"/>
      <c r="D175" s="327"/>
      <c r="E175" s="327"/>
      <c r="F175" s="327"/>
      <c r="G175" s="328"/>
      <c r="H175" s="2"/>
      <c r="I175" s="2"/>
      <c r="J175" s="2"/>
      <c r="K175" s="2"/>
      <c r="L175" s="2"/>
      <c r="M175" s="414"/>
      <c r="N175" s="2"/>
      <c r="O175" s="2"/>
      <c r="Q175" s="2"/>
      <c r="R175" s="2"/>
    </row>
    <row r="176" spans="1:18" ht="13.5" thickTop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414"/>
      <c r="N176" s="2"/>
      <c r="O176" s="2"/>
      <c r="Q176" s="2"/>
      <c r="R176" s="2"/>
    </row>
    <row r="177" spans="1:18" ht="12.75">
      <c r="A177" s="2"/>
      <c r="B177" s="1" t="s">
        <v>1395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414"/>
      <c r="N177" s="2"/>
      <c r="O177" s="2"/>
      <c r="Q177" s="2"/>
      <c r="R177" s="2"/>
    </row>
    <row r="178" spans="1:18" ht="13.5" thickBo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414"/>
      <c r="N178" s="2"/>
      <c r="O178" s="2"/>
      <c r="Q178" s="2"/>
      <c r="R178" s="2"/>
    </row>
    <row r="179" spans="1:18" ht="14.25" thickBot="1" thickTop="1">
      <c r="A179" s="2"/>
      <c r="B179" s="318"/>
      <c r="C179" s="440">
        <f>+C171</f>
        <v>2002</v>
      </c>
      <c r="D179" s="440">
        <f>+D171</f>
        <v>2001</v>
      </c>
      <c r="E179" s="440">
        <f>+E171</f>
        <v>2000</v>
      </c>
      <c r="F179" s="440">
        <f>+F171</f>
        <v>1999</v>
      </c>
      <c r="G179" s="440">
        <f>+F179-1</f>
        <v>1998</v>
      </c>
      <c r="H179" s="2"/>
      <c r="I179" s="2"/>
      <c r="J179" s="2"/>
      <c r="K179" s="2"/>
      <c r="L179" s="2"/>
      <c r="M179" s="414"/>
      <c r="N179" s="2"/>
      <c r="O179" s="2"/>
      <c r="Q179" s="2"/>
      <c r="R179" s="2"/>
    </row>
    <row r="180" spans="1:18" ht="13.5" thickTop="1">
      <c r="A180" s="2"/>
      <c r="B180" s="20"/>
      <c r="C180" s="21"/>
      <c r="D180" s="21"/>
      <c r="E180" s="21"/>
      <c r="F180" s="21"/>
      <c r="G180" s="21"/>
      <c r="H180" s="2"/>
      <c r="I180" s="2"/>
      <c r="J180" s="2"/>
      <c r="K180" s="2"/>
      <c r="L180" s="2"/>
      <c r="M180" s="414"/>
      <c r="N180" s="2"/>
      <c r="O180" s="2"/>
      <c r="Q180" s="2"/>
      <c r="R180" s="2"/>
    </row>
    <row r="181" spans="1:18" ht="12" customHeight="1">
      <c r="A181" s="2"/>
      <c r="B181" s="2" t="s">
        <v>1396</v>
      </c>
      <c r="C181" s="30">
        <f>C58+C57+C55+C50</f>
        <v>76288</v>
      </c>
      <c r="D181" s="30">
        <f>E58+E57+E55+E50</f>
        <v>59948</v>
      </c>
      <c r="E181" s="30">
        <f>G58+G57+G55+G50</f>
        <v>35816</v>
      </c>
      <c r="F181" s="30">
        <f>I58+I57+I55+I50</f>
        <v>18655</v>
      </c>
      <c r="G181" s="30">
        <f>K58+K57+K55+K50</f>
        <v>13834</v>
      </c>
      <c r="H181" s="2"/>
      <c r="I181" s="2"/>
      <c r="J181" s="2"/>
      <c r="K181" s="2"/>
      <c r="L181" s="2"/>
      <c r="M181" s="414"/>
      <c r="N181" s="2"/>
      <c r="O181" s="2"/>
      <c r="Q181" s="2"/>
      <c r="R181" s="2"/>
    </row>
    <row r="182" spans="1:18" ht="13.5" thickBot="1">
      <c r="A182" s="2"/>
      <c r="B182" s="325"/>
      <c r="C182" s="327"/>
      <c r="D182" s="327"/>
      <c r="E182" s="327"/>
      <c r="F182" s="327"/>
      <c r="G182" s="328"/>
      <c r="H182" s="2"/>
      <c r="I182" s="2"/>
      <c r="J182" s="2"/>
      <c r="K182" s="2"/>
      <c r="L182" s="2"/>
      <c r="M182" s="414"/>
      <c r="N182" s="2"/>
      <c r="O182" s="2"/>
      <c r="Q182" s="2"/>
      <c r="R182" s="2"/>
    </row>
    <row r="183" spans="1:18" ht="13.5" thickTop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414"/>
      <c r="N183" s="2"/>
      <c r="O183" s="2"/>
      <c r="Q183" s="2"/>
      <c r="R183" s="2"/>
    </row>
    <row r="184" spans="1:18" ht="12.75">
      <c r="A184" s="2"/>
      <c r="B184" s="1" t="s">
        <v>292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414"/>
      <c r="N184" s="2"/>
      <c r="O184" s="2"/>
      <c r="Q184" s="2"/>
      <c r="R184" s="2"/>
    </row>
    <row r="185" spans="1:18" ht="13.5" thickBo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414"/>
      <c r="N185" s="2"/>
      <c r="O185" s="2"/>
      <c r="Q185" s="2"/>
      <c r="R185" s="2"/>
    </row>
    <row r="186" spans="1:18" ht="14.25" thickBot="1" thickTop="1">
      <c r="A186" s="2"/>
      <c r="B186" s="318"/>
      <c r="C186" s="440">
        <f>+C179</f>
        <v>2002</v>
      </c>
      <c r="D186" s="440">
        <f>+D179</f>
        <v>2001</v>
      </c>
      <c r="E186" s="440">
        <f>+E179</f>
        <v>2000</v>
      </c>
      <c r="F186" s="440">
        <f>+F179</f>
        <v>1999</v>
      </c>
      <c r="G186" s="440">
        <f>+F186-1</f>
        <v>1998</v>
      </c>
      <c r="H186" s="2"/>
      <c r="I186" s="2"/>
      <c r="J186" s="2"/>
      <c r="K186" s="2"/>
      <c r="L186" s="2"/>
      <c r="M186" s="414"/>
      <c r="N186" s="2"/>
      <c r="O186" s="2"/>
      <c r="Q186" s="2"/>
      <c r="R186" s="2"/>
    </row>
    <row r="187" spans="1:18" ht="13.5" thickTop="1">
      <c r="A187" s="2"/>
      <c r="B187" s="20"/>
      <c r="C187" s="21"/>
      <c r="D187" s="21"/>
      <c r="E187" s="21"/>
      <c r="F187" s="21"/>
      <c r="G187" s="21"/>
      <c r="H187" s="2"/>
      <c r="I187" s="2"/>
      <c r="J187" s="2"/>
      <c r="K187" s="2"/>
      <c r="L187" s="2"/>
      <c r="M187" s="414"/>
      <c r="N187" s="2"/>
      <c r="O187" s="2"/>
      <c r="Q187" s="2"/>
      <c r="R187" s="2"/>
    </row>
    <row r="188" spans="1:18" ht="12.75">
      <c r="A188" s="2"/>
      <c r="B188" s="31" t="s">
        <v>294</v>
      </c>
      <c r="C188" s="32">
        <f>C118</f>
        <v>2609</v>
      </c>
      <c r="D188" s="32">
        <f>E118</f>
        <v>-3605</v>
      </c>
      <c r="E188" s="32">
        <f>G118</f>
        <v>263</v>
      </c>
      <c r="F188" s="32">
        <f>I118</f>
        <v>-969</v>
      </c>
      <c r="G188" s="32">
        <f>K118</f>
        <v>-67</v>
      </c>
      <c r="H188" s="2"/>
      <c r="I188" s="2"/>
      <c r="J188" s="2"/>
      <c r="K188" s="2"/>
      <c r="L188" s="2"/>
      <c r="M188" s="414"/>
      <c r="N188" s="2"/>
      <c r="O188" s="2"/>
      <c r="Q188" s="2"/>
      <c r="R188" s="2"/>
    </row>
    <row r="189" spans="1:18" ht="12.75">
      <c r="A189" s="2"/>
      <c r="B189" s="2" t="s">
        <v>254</v>
      </c>
      <c r="C189" s="27">
        <f>C188/C103</f>
        <v>0.025947031854481804</v>
      </c>
      <c r="D189" s="27">
        <f>F118</f>
        <v>-0.08363298921238835</v>
      </c>
      <c r="E189" s="27">
        <f>H118</f>
        <v>0.010452269294968604</v>
      </c>
      <c r="F189" s="27">
        <f>J118</f>
        <v>-0.09754378900744916</v>
      </c>
      <c r="G189" s="27">
        <f>L118</f>
        <v>-0.006535947712418301</v>
      </c>
      <c r="H189" s="2"/>
      <c r="I189" s="2"/>
      <c r="J189" s="2"/>
      <c r="K189" s="2"/>
      <c r="L189" s="2"/>
      <c r="M189" s="414"/>
      <c r="N189" s="2"/>
      <c r="O189" s="2"/>
      <c r="Q189" s="2"/>
      <c r="R189" s="2"/>
    </row>
    <row r="190" spans="1:18" ht="12.75">
      <c r="A190" s="2"/>
      <c r="B190" s="8" t="s">
        <v>295</v>
      </c>
      <c r="C190" s="329">
        <f>C126</f>
        <v>1779</v>
      </c>
      <c r="D190" s="329">
        <f>E126</f>
        <v>-4181</v>
      </c>
      <c r="E190" s="329">
        <f>G126</f>
        <v>235</v>
      </c>
      <c r="F190" s="329">
        <f>I126</f>
        <v>-947</v>
      </c>
      <c r="G190" s="329">
        <f>K126</f>
        <v>-139</v>
      </c>
      <c r="H190" s="2"/>
      <c r="I190" s="2"/>
      <c r="J190" s="2"/>
      <c r="K190" s="2"/>
      <c r="L190" s="2"/>
      <c r="M190" s="414"/>
      <c r="N190" s="2"/>
      <c r="O190" s="2"/>
      <c r="Q190" s="2"/>
      <c r="R190" s="2"/>
    </row>
    <row r="191" spans="1:18" ht="12.75">
      <c r="A191" s="2"/>
      <c r="B191" s="2" t="s">
        <v>293</v>
      </c>
      <c r="C191" s="27">
        <f>D128</f>
        <v>0.017692514246501777</v>
      </c>
      <c r="D191" s="27">
        <f>F126</f>
        <v>-0.09699570815450644</v>
      </c>
      <c r="E191" s="27">
        <f>H126</f>
        <v>0.009339480168508068</v>
      </c>
      <c r="F191" s="27">
        <f>J126</f>
        <v>-0.0953291725387558</v>
      </c>
      <c r="G191" s="27">
        <f>L126</f>
        <v>-0.013559652716808116</v>
      </c>
      <c r="H191" s="2"/>
      <c r="I191" s="2"/>
      <c r="J191" s="2"/>
      <c r="K191" s="2"/>
      <c r="L191" s="2"/>
      <c r="M191" s="414"/>
      <c r="N191" s="2"/>
      <c r="O191" s="2"/>
      <c r="Q191" s="2"/>
      <c r="R191" s="2"/>
    </row>
    <row r="192" spans="1:18" ht="13.5" thickBot="1">
      <c r="A192" s="2"/>
      <c r="B192" s="325"/>
      <c r="C192" s="327"/>
      <c r="D192" s="327"/>
      <c r="E192" s="327"/>
      <c r="F192" s="327"/>
      <c r="G192" s="328"/>
      <c r="H192" s="2"/>
      <c r="I192" s="2"/>
      <c r="J192" s="2"/>
      <c r="K192" s="2"/>
      <c r="L192" s="2"/>
      <c r="M192" s="414"/>
      <c r="N192" s="2"/>
      <c r="O192" s="2"/>
      <c r="Q192" s="2"/>
      <c r="R192" s="2"/>
    </row>
    <row r="193" ht="13.5" thickTop="1"/>
    <row r="194" ht="12.75">
      <c r="B194" s="164" t="s">
        <v>1309</v>
      </c>
    </row>
    <row r="195" ht="13.5" thickBot="1"/>
    <row r="196" spans="2:7" ht="13.5" thickTop="1">
      <c r="B196" s="167"/>
      <c r="C196" s="172">
        <f>+C186</f>
        <v>2002</v>
      </c>
      <c r="D196" s="172">
        <f>+D186</f>
        <v>2001</v>
      </c>
      <c r="E196" s="172">
        <f>+E186</f>
        <v>2000</v>
      </c>
      <c r="F196" s="172">
        <f>+F186</f>
        <v>1999</v>
      </c>
      <c r="G196" s="172">
        <f>+F196-1</f>
        <v>1998</v>
      </c>
    </row>
    <row r="197" spans="2:7" ht="12.75">
      <c r="B197" s="168"/>
      <c r="C197" s="157"/>
      <c r="D197" s="157"/>
      <c r="E197" s="157"/>
      <c r="F197" s="157"/>
      <c r="G197" s="158"/>
    </row>
    <row r="198" spans="2:7" ht="12.75">
      <c r="B198" s="168" t="s">
        <v>1306</v>
      </c>
      <c r="C198" s="161">
        <f>+C20</f>
        <v>46224</v>
      </c>
      <c r="D198" s="161">
        <f>+E20</f>
        <v>37741</v>
      </c>
      <c r="E198" s="161">
        <f>+G20</f>
        <v>31663</v>
      </c>
      <c r="F198" s="161">
        <f>+I20</f>
        <v>16177</v>
      </c>
      <c r="G198" s="162">
        <f>+K20</f>
        <v>11155</v>
      </c>
    </row>
    <row r="199" spans="2:7" ht="12.75">
      <c r="B199" s="168" t="s">
        <v>1307</v>
      </c>
      <c r="C199" s="159">
        <f>+C58+C57+C55</f>
        <v>76288</v>
      </c>
      <c r="D199" s="159">
        <f>+E58+E57+E55</f>
        <v>59948</v>
      </c>
      <c r="E199" s="159">
        <f>+G58+G57+G55</f>
        <v>35234</v>
      </c>
      <c r="F199" s="159">
        <f>+I58+I57+I55</f>
        <v>18005</v>
      </c>
      <c r="G199" s="160">
        <f>+K58+K57+K55</f>
        <v>13813</v>
      </c>
    </row>
    <row r="200" spans="2:7" ht="12.75">
      <c r="B200" s="168" t="s">
        <v>1308</v>
      </c>
      <c r="C200" s="159">
        <f>+C199-C198</f>
        <v>30064</v>
      </c>
      <c r="D200" s="159">
        <f>+D199-D198</f>
        <v>22207</v>
      </c>
      <c r="E200" s="159">
        <f>+E199-E198</f>
        <v>3571</v>
      </c>
      <c r="F200" s="159">
        <f>+F199-F198</f>
        <v>1828</v>
      </c>
      <c r="G200" s="160">
        <f>+G199-G198</f>
        <v>2658</v>
      </c>
    </row>
    <row r="201" spans="2:7" ht="12.75">
      <c r="B201" s="168" t="s">
        <v>1330</v>
      </c>
      <c r="C201" s="159">
        <f>+C13-C18</f>
        <v>4065</v>
      </c>
      <c r="D201" s="159">
        <f>+E13-E18</f>
        <v>1429</v>
      </c>
      <c r="E201" s="159">
        <f>+G13-G18</f>
        <v>963</v>
      </c>
      <c r="F201" s="159">
        <f>+I13-I18</f>
        <v>527</v>
      </c>
      <c r="G201" s="160">
        <f>+K13-K18</f>
        <v>662</v>
      </c>
    </row>
    <row r="202" spans="2:7" ht="13.5" thickBot="1">
      <c r="B202" s="169" t="s">
        <v>1305</v>
      </c>
      <c r="C202" s="170">
        <f>+C200/C201</f>
        <v>7.395817958179582</v>
      </c>
      <c r="D202" s="170">
        <f>+D200/D201</f>
        <v>15.540237928621414</v>
      </c>
      <c r="E202" s="170">
        <f>+E200/E201</f>
        <v>3.7082035306334373</v>
      </c>
      <c r="F202" s="170">
        <f>+F200/F201</f>
        <v>3.4686907020872866</v>
      </c>
      <c r="G202" s="171">
        <f>+G200/G201</f>
        <v>4.015105740181269</v>
      </c>
    </row>
    <row r="203" ht="13.5" thickTop="1"/>
    <row r="206" spans="2:8" ht="12.75">
      <c r="B206" s="163"/>
      <c r="C206" s="163"/>
      <c r="D206" s="163"/>
      <c r="E206" s="163"/>
      <c r="F206" s="163"/>
      <c r="G206" s="163"/>
      <c r="H206" s="163"/>
    </row>
    <row r="207" spans="2:8" ht="12.75">
      <c r="B207" s="163"/>
      <c r="C207" s="163"/>
      <c r="D207" s="163"/>
      <c r="E207" s="163"/>
      <c r="F207" s="163"/>
      <c r="G207" s="163"/>
      <c r="H207" s="163"/>
    </row>
    <row r="208" spans="2:8" ht="12.75">
      <c r="B208" s="163"/>
      <c r="C208" s="163"/>
      <c r="D208" s="163"/>
      <c r="E208" s="163"/>
      <c r="F208" s="163"/>
      <c r="G208" s="163"/>
      <c r="H208" s="163"/>
    </row>
    <row r="209" spans="2:8" ht="12.75">
      <c r="B209" s="163"/>
      <c r="C209" s="163"/>
      <c r="D209" s="163"/>
      <c r="E209" s="163"/>
      <c r="F209" s="163"/>
      <c r="G209" s="163"/>
      <c r="H209" s="163"/>
    </row>
    <row r="210" spans="2:8" ht="12.75">
      <c r="B210" s="163"/>
      <c r="C210" s="163"/>
      <c r="D210" s="163"/>
      <c r="E210" s="163"/>
      <c r="F210" s="163"/>
      <c r="G210" s="163"/>
      <c r="H210" s="163"/>
    </row>
    <row r="211" spans="2:8" ht="12.75">
      <c r="B211" s="163"/>
      <c r="C211" s="163"/>
      <c r="D211" s="163"/>
      <c r="E211" s="163"/>
      <c r="F211" s="163"/>
      <c r="G211" s="163"/>
      <c r="H211" s="163"/>
    </row>
    <row r="212" spans="2:8" ht="12.75">
      <c r="B212" s="163"/>
      <c r="C212" s="163"/>
      <c r="D212" s="163"/>
      <c r="E212" s="163"/>
      <c r="F212" s="163"/>
      <c r="G212" s="163"/>
      <c r="H212" s="163"/>
    </row>
    <row r="213" spans="2:8" ht="12.75">
      <c r="B213" s="163"/>
      <c r="C213" s="163"/>
      <c r="D213" s="163"/>
      <c r="E213" s="163"/>
      <c r="F213" s="163"/>
      <c r="G213" s="163"/>
      <c r="H213" s="163"/>
    </row>
    <row r="214" spans="2:8" ht="12.75">
      <c r="B214" s="163"/>
      <c r="C214" s="163"/>
      <c r="D214" s="163"/>
      <c r="E214" s="163"/>
      <c r="F214" s="163"/>
      <c r="G214" s="163"/>
      <c r="H214" s="163"/>
    </row>
  </sheetData>
  <sheetProtection/>
  <mergeCells count="17">
    <mergeCell ref="G4:H4"/>
    <mergeCell ref="I4:J4"/>
    <mergeCell ref="K100:L100"/>
    <mergeCell ref="C100:D100"/>
    <mergeCell ref="E100:F100"/>
    <mergeCell ref="G100:H100"/>
    <mergeCell ref="I100:J100"/>
    <mergeCell ref="K4:L4"/>
    <mergeCell ref="Q4:R4"/>
    <mergeCell ref="K45:L45"/>
    <mergeCell ref="Q45:R45"/>
    <mergeCell ref="C4:D4"/>
    <mergeCell ref="E4:F4"/>
    <mergeCell ref="C45:D45"/>
    <mergeCell ref="E45:F45"/>
    <mergeCell ref="G45:H45"/>
    <mergeCell ref="I45:J45"/>
  </mergeCells>
  <printOptions horizontalCentered="1" verticalCentered="1"/>
  <pageMargins left="0.75" right="0.75" top="0.25" bottom="0.2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zoomScalePageLayoutView="0" workbookViewId="0" topLeftCell="A51">
      <selection activeCell="B73" sqref="B73"/>
    </sheetView>
  </sheetViews>
  <sheetFormatPr defaultColWidth="9.140625" defaultRowHeight="12.75"/>
  <cols>
    <col min="1" max="1" width="9.140625" style="475" customWidth="1"/>
    <col min="2" max="2" width="34.57421875" style="475" customWidth="1"/>
    <col min="3" max="3" width="12.28125" style="475" customWidth="1"/>
    <col min="4" max="4" width="11.140625" style="475" customWidth="1"/>
    <col min="5" max="5" width="12.28125" style="475" customWidth="1"/>
    <col min="6" max="6" width="11.00390625" style="475" bestFit="1" customWidth="1"/>
    <col min="7" max="7" width="11.00390625" style="475" customWidth="1"/>
    <col min="8" max="8" width="10.421875" style="475" bestFit="1" customWidth="1"/>
    <col min="9" max="16384" width="9.140625" style="475" customWidth="1"/>
  </cols>
  <sheetData>
    <row r="1" spans="2:8" ht="12.75">
      <c r="B1" s="472"/>
      <c r="C1" s="473" t="s">
        <v>309</v>
      </c>
      <c r="D1" s="474" t="s">
        <v>100</v>
      </c>
      <c r="E1" s="993" t="s">
        <v>285</v>
      </c>
      <c r="F1" s="993"/>
      <c r="G1" s="993" t="s">
        <v>102</v>
      </c>
      <c r="H1" s="993"/>
    </row>
    <row r="2" spans="2:8" ht="12.75">
      <c r="B2" s="472"/>
      <c r="C2" s="473" t="s">
        <v>310</v>
      </c>
      <c r="D2" s="474" t="s">
        <v>298</v>
      </c>
      <c r="E2" s="474" t="s">
        <v>101</v>
      </c>
      <c r="F2" s="474" t="s">
        <v>284</v>
      </c>
      <c r="G2" s="474" t="s">
        <v>101</v>
      </c>
      <c r="H2" s="474" t="s">
        <v>284</v>
      </c>
    </row>
    <row r="3" spans="2:8" ht="12.75">
      <c r="B3" s="472" t="s">
        <v>935</v>
      </c>
      <c r="C3" s="476">
        <f>+Bilansi!C103</f>
        <v>100551</v>
      </c>
      <c r="D3" s="477">
        <f>Bilansi!C111</f>
        <v>22189</v>
      </c>
      <c r="E3" s="478">
        <f>100%-F3</f>
        <v>0.13</v>
      </c>
      <c r="F3" s="478">
        <v>0.87</v>
      </c>
      <c r="G3" s="479">
        <f>+(D3*E3)/C3</f>
        <v>0.02868763115235055</v>
      </c>
      <c r="H3" s="479">
        <f>+(D3*F3)/C3</f>
        <v>0.19198645463496136</v>
      </c>
    </row>
    <row r="4" spans="2:8" ht="12.75">
      <c r="B4" s="472"/>
      <c r="C4" s="472"/>
      <c r="D4" s="477"/>
      <c r="E4" s="480"/>
      <c r="F4" s="480"/>
      <c r="G4" s="481"/>
      <c r="H4" s="482"/>
    </row>
    <row r="5" spans="2:8" ht="12.75">
      <c r="B5" s="472" t="s">
        <v>104</v>
      </c>
      <c r="C5" s="476">
        <f>+Bilansi!C103</f>
        <v>100551</v>
      </c>
      <c r="D5" s="477">
        <f>Bilansi!C114</f>
        <v>19931</v>
      </c>
      <c r="E5" s="478">
        <f>100%-F5</f>
        <v>0.4</v>
      </c>
      <c r="F5" s="478">
        <v>0.6</v>
      </c>
      <c r="G5" s="479">
        <f>+(D5*E5)/C5</f>
        <v>0.07928712792513253</v>
      </c>
      <c r="H5" s="479">
        <f>+(D5*F5)/C5</f>
        <v>0.11893069188769878</v>
      </c>
    </row>
    <row r="6" spans="2:8" ht="12.75">
      <c r="B6" s="472"/>
      <c r="C6" s="472"/>
      <c r="D6" s="477"/>
      <c r="E6" s="483"/>
      <c r="F6" s="483"/>
      <c r="G6" s="484"/>
      <c r="H6" s="484"/>
    </row>
    <row r="7" spans="2:8" ht="12.75">
      <c r="B7" s="472" t="s">
        <v>105</v>
      </c>
      <c r="C7" s="476">
        <f>+C3</f>
        <v>100551</v>
      </c>
      <c r="D7" s="477">
        <f>+Bilansi!C112</f>
        <v>8829</v>
      </c>
      <c r="E7" s="478">
        <f>100%-F7</f>
        <v>0.125</v>
      </c>
      <c r="F7" s="478">
        <v>0.875</v>
      </c>
      <c r="G7" s="479">
        <f>+(D7*E7)/C7</f>
        <v>0.010975773488080676</v>
      </c>
      <c r="H7" s="479">
        <f>+(D7*F7)/C7</f>
        <v>0.07683041441656473</v>
      </c>
    </row>
    <row r="8" spans="4:18" ht="12.75">
      <c r="D8" s="485"/>
      <c r="E8" s="486"/>
      <c r="F8" s="487"/>
      <c r="G8" s="488"/>
      <c r="H8" s="489"/>
      <c r="I8" s="485"/>
      <c r="J8" s="485"/>
      <c r="K8" s="490"/>
      <c r="L8" s="490"/>
      <c r="M8" s="490"/>
      <c r="N8" s="490"/>
      <c r="O8" s="490"/>
      <c r="P8" s="490"/>
      <c r="Q8" s="490"/>
      <c r="R8" s="490"/>
    </row>
    <row r="9" spans="4:18" ht="12.75">
      <c r="D9" s="485"/>
      <c r="E9" s="486"/>
      <c r="F9" s="487"/>
      <c r="G9" s="488"/>
      <c r="H9" s="489"/>
      <c r="I9" s="485"/>
      <c r="J9" s="485"/>
      <c r="K9" s="490"/>
      <c r="L9" s="490"/>
      <c r="M9" s="490"/>
      <c r="N9" s="490"/>
      <c r="O9" s="490"/>
      <c r="P9" s="490"/>
      <c r="Q9" s="490"/>
      <c r="R9" s="490"/>
    </row>
    <row r="10" spans="4:18" ht="12.75">
      <c r="D10" s="485"/>
      <c r="E10" s="486"/>
      <c r="F10" s="487"/>
      <c r="G10" s="488"/>
      <c r="H10" s="489"/>
      <c r="I10" s="485"/>
      <c r="J10" s="485"/>
      <c r="K10" s="490"/>
      <c r="L10" s="490"/>
      <c r="M10" s="490"/>
      <c r="N10" s="490"/>
      <c r="O10" s="490"/>
      <c r="P10" s="490"/>
      <c r="Q10" s="490"/>
      <c r="R10" s="490"/>
    </row>
    <row r="11" spans="2:18" ht="12.75">
      <c r="B11" s="472"/>
      <c r="C11" s="993" t="s">
        <v>1400</v>
      </c>
      <c r="D11" s="993"/>
      <c r="E11" s="993" t="s">
        <v>1401</v>
      </c>
      <c r="F11" s="993"/>
      <c r="G11" s="993" t="s">
        <v>1402</v>
      </c>
      <c r="H11" s="993"/>
      <c r="I11" s="993" t="s">
        <v>1403</v>
      </c>
      <c r="J11" s="993"/>
      <c r="K11" s="993" t="s">
        <v>1404</v>
      </c>
      <c r="L11" s="993"/>
      <c r="M11" s="490"/>
      <c r="N11" s="490"/>
      <c r="O11" s="490"/>
      <c r="P11" s="490"/>
      <c r="Q11" s="490"/>
      <c r="R11" s="490"/>
    </row>
    <row r="12" spans="2:18" ht="12.75">
      <c r="B12" s="472"/>
      <c r="C12" s="474" t="s">
        <v>283</v>
      </c>
      <c r="D12" s="474" t="s">
        <v>284</v>
      </c>
      <c r="E12" s="474" t="s">
        <v>283</v>
      </c>
      <c r="F12" s="474" t="s">
        <v>284</v>
      </c>
      <c r="G12" s="474" t="s">
        <v>283</v>
      </c>
      <c r="H12" s="474" t="s">
        <v>284</v>
      </c>
      <c r="I12" s="474" t="s">
        <v>283</v>
      </c>
      <c r="J12" s="474" t="s">
        <v>284</v>
      </c>
      <c r="K12" s="474" t="s">
        <v>283</v>
      </c>
      <c r="L12" s="474" t="s">
        <v>284</v>
      </c>
      <c r="M12" s="490"/>
      <c r="N12" s="490"/>
      <c r="O12" s="490"/>
      <c r="P12" s="490"/>
      <c r="Q12" s="490"/>
      <c r="R12" s="490"/>
    </row>
    <row r="13" spans="2:18" ht="12.75">
      <c r="B13" s="472" t="s">
        <v>935</v>
      </c>
      <c r="C13" s="491">
        <f>+D3*E3*Meni!C$49*Meni!C$52/100</f>
        <v>2029.2949950000004</v>
      </c>
      <c r="D13" s="492">
        <f>+$H$3*'P,R, BU'!$C$55</f>
        <v>20717.12419448826</v>
      </c>
      <c r="E13" s="492">
        <f>+C13</f>
        <v>2029.2949950000004</v>
      </c>
      <c r="F13" s="492">
        <f>+$H$3*'P,R, BU'!$D$55</f>
        <v>21131.466678378027</v>
      </c>
      <c r="G13" s="492">
        <f>+E13</f>
        <v>2029.2949950000004</v>
      </c>
      <c r="H13" s="492">
        <f>+$H$3*'P,R, BU'!$E$55</f>
        <v>21413.219567423068</v>
      </c>
      <c r="I13" s="492">
        <f>+G13</f>
        <v>2029.2949950000004</v>
      </c>
      <c r="J13" s="492">
        <f>+$H$3*'P,R, BU'!$F$55</f>
        <v>21698.729161655378</v>
      </c>
      <c r="K13" s="492">
        <f>+I13</f>
        <v>2029.2949950000004</v>
      </c>
      <c r="L13" s="492">
        <f>+$H$3*'P,R, BU'!$G$55</f>
        <v>21988.04555047745</v>
      </c>
      <c r="M13" s="490"/>
      <c r="N13" s="490"/>
      <c r="O13" s="490"/>
      <c r="P13" s="490"/>
      <c r="Q13" s="490"/>
      <c r="R13" s="490"/>
    </row>
    <row r="14" spans="2:18" ht="12.75">
      <c r="B14" s="472"/>
      <c r="C14" s="493"/>
      <c r="D14" s="477"/>
      <c r="E14" s="477"/>
      <c r="F14" s="477"/>
      <c r="G14" s="477"/>
      <c r="H14" s="477"/>
      <c r="I14" s="477"/>
      <c r="J14" s="477"/>
      <c r="K14" s="477"/>
      <c r="L14" s="477"/>
      <c r="M14" s="490"/>
      <c r="N14" s="490"/>
      <c r="O14" s="490"/>
      <c r="P14" s="490"/>
      <c r="Q14" s="490"/>
      <c r="R14" s="490"/>
    </row>
    <row r="15" spans="2:18" ht="12.75">
      <c r="B15" s="472" t="s">
        <v>104</v>
      </c>
      <c r="C15" s="491">
        <f>+D5*E5*Meni!C$49*Meni!C$52/100</f>
        <v>5608.5834</v>
      </c>
      <c r="D15" s="492">
        <f>+$H$5*'P,R, BU'!$C$55</f>
        <v>12833.727874493436</v>
      </c>
      <c r="E15" s="492">
        <f>+C15</f>
        <v>5608.5834</v>
      </c>
      <c r="F15" s="492">
        <f>+$H$5*'P,R, BU'!$D$55</f>
        <v>13090.402431983304</v>
      </c>
      <c r="G15" s="492">
        <f>+E15</f>
        <v>5608.5834</v>
      </c>
      <c r="H15" s="492">
        <f>+$H$5*'P,R, BU'!$E$55</f>
        <v>13264.941131076417</v>
      </c>
      <c r="I15" s="492">
        <f>+G15</f>
        <v>5608.5834</v>
      </c>
      <c r="J15" s="492">
        <f>+$H$5*'P,R, BU'!$F$55</f>
        <v>13441.807012824103</v>
      </c>
      <c r="K15" s="492">
        <f>+I15</f>
        <v>5608.5834</v>
      </c>
      <c r="L15" s="492">
        <f>+$H$5*'P,R, BU'!$G$55</f>
        <v>13621.031106328426</v>
      </c>
      <c r="M15" s="490"/>
      <c r="N15" s="490"/>
      <c r="O15" s="490"/>
      <c r="P15" s="490"/>
      <c r="Q15" s="490"/>
      <c r="R15" s="490"/>
    </row>
    <row r="16" spans="2:18" ht="12.75">
      <c r="B16" s="472"/>
      <c r="C16" s="494"/>
      <c r="D16" s="476"/>
      <c r="E16" s="476"/>
      <c r="F16" s="476"/>
      <c r="G16" s="476"/>
      <c r="H16" s="476"/>
      <c r="I16" s="476"/>
      <c r="J16" s="476"/>
      <c r="K16" s="476"/>
      <c r="L16" s="476"/>
      <c r="M16" s="490"/>
      <c r="N16" s="490"/>
      <c r="O16" s="490"/>
      <c r="P16" s="490"/>
      <c r="Q16" s="490"/>
      <c r="R16" s="490"/>
    </row>
    <row r="17" spans="2:18" ht="12.75">
      <c r="B17" s="472" t="s">
        <v>105</v>
      </c>
      <c r="C17" s="491">
        <f>+D7*E7*Meni!C$49*Meni!C$52/100</f>
        <v>776.4001875</v>
      </c>
      <c r="D17" s="492">
        <f>+$H$7*'P,R, BU'!$C$55</f>
        <v>8290.716344590062</v>
      </c>
      <c r="E17" s="492">
        <f>+C17</f>
        <v>776.4001875</v>
      </c>
      <c r="F17" s="492">
        <f>+$H$7*'P,R, BU'!$D$55</f>
        <v>8456.530671481863</v>
      </c>
      <c r="G17" s="492">
        <f>+E17</f>
        <v>776.4001875</v>
      </c>
      <c r="H17" s="492">
        <f>+$H$7*'P,R, BU'!$E$55</f>
        <v>8569.28441376829</v>
      </c>
      <c r="I17" s="492">
        <f>+G17</f>
        <v>776.4001875</v>
      </c>
      <c r="J17" s="492">
        <f>+$H$7*'P,R, BU'!$F$55</f>
        <v>8683.541539285201</v>
      </c>
      <c r="K17" s="492">
        <f>+I17</f>
        <v>776.4001875</v>
      </c>
      <c r="L17" s="492">
        <f>+$H$7*'P,R, BU'!$G$55</f>
        <v>8799.322093142338</v>
      </c>
      <c r="M17" s="490"/>
      <c r="N17" s="490"/>
      <c r="O17" s="490"/>
      <c r="P17" s="490"/>
      <c r="Q17" s="490"/>
      <c r="R17" s="490"/>
    </row>
    <row r="18" spans="4:18" ht="12.75">
      <c r="D18" s="485"/>
      <c r="E18" s="486"/>
      <c r="F18" s="487"/>
      <c r="G18" s="488"/>
      <c r="H18" s="489"/>
      <c r="I18" s="485"/>
      <c r="J18" s="485"/>
      <c r="K18" s="490"/>
      <c r="L18" s="490"/>
      <c r="M18" s="490"/>
      <c r="N18" s="490"/>
      <c r="O18" s="490"/>
      <c r="P18" s="490"/>
      <c r="Q18" s="490"/>
      <c r="R18" s="490"/>
    </row>
    <row r="19" spans="4:18" ht="12.75">
      <c r="D19" s="485"/>
      <c r="E19" s="486"/>
      <c r="F19" s="487"/>
      <c r="G19" s="488"/>
      <c r="H19" s="489"/>
      <c r="I19" s="485"/>
      <c r="J19" s="485"/>
      <c r="K19" s="490"/>
      <c r="L19" s="490"/>
      <c r="M19" s="490"/>
      <c r="N19" s="490"/>
      <c r="O19" s="490"/>
      <c r="P19" s="490"/>
      <c r="Q19" s="490"/>
      <c r="R19" s="490"/>
    </row>
    <row r="20" spans="4:18" ht="12.75">
      <c r="D20" s="485"/>
      <c r="E20" s="486"/>
      <c r="F20" s="487"/>
      <c r="G20" s="488"/>
      <c r="H20" s="489"/>
      <c r="I20" s="485"/>
      <c r="J20" s="485"/>
      <c r="K20" s="490"/>
      <c r="L20" s="490"/>
      <c r="M20" s="490"/>
      <c r="N20" s="490"/>
      <c r="O20" s="490"/>
      <c r="P20" s="490"/>
      <c r="Q20" s="490"/>
      <c r="R20" s="490"/>
    </row>
    <row r="21" spans="4:18" ht="12.75">
      <c r="D21" s="485"/>
      <c r="E21" s="486"/>
      <c r="F21" s="487"/>
      <c r="G21" s="488"/>
      <c r="H21" s="489"/>
      <c r="I21" s="485"/>
      <c r="J21" s="485"/>
      <c r="K21" s="490"/>
      <c r="L21" s="490"/>
      <c r="M21" s="490"/>
      <c r="N21" s="490"/>
      <c r="O21" s="490"/>
      <c r="P21" s="490"/>
      <c r="Q21" s="490"/>
      <c r="R21" s="490"/>
    </row>
    <row r="22" spans="4:18" ht="12.75">
      <c r="D22" s="485"/>
      <c r="E22" s="486"/>
      <c r="F22" s="487"/>
      <c r="G22" s="488"/>
      <c r="H22" s="489"/>
      <c r="I22" s="485"/>
      <c r="J22" s="485"/>
      <c r="K22" s="490"/>
      <c r="L22" s="490"/>
      <c r="M22" s="490"/>
      <c r="N22" s="490"/>
      <c r="O22" s="490"/>
      <c r="P22" s="490"/>
      <c r="Q22" s="490"/>
      <c r="R22" s="490"/>
    </row>
    <row r="23" spans="2:18" ht="12.75">
      <c r="B23" s="472"/>
      <c r="C23" s="993" t="s">
        <v>1399</v>
      </c>
      <c r="D23" s="993"/>
      <c r="E23" s="993"/>
      <c r="F23" s="993"/>
      <c r="G23" s="993"/>
      <c r="H23" s="489"/>
      <c r="I23" s="485"/>
      <c r="J23" s="485"/>
      <c r="K23" s="490"/>
      <c r="L23" s="490"/>
      <c r="M23" s="490"/>
      <c r="N23" s="490"/>
      <c r="O23" s="490"/>
      <c r="P23" s="490"/>
      <c r="Q23" s="490"/>
      <c r="R23" s="490"/>
    </row>
    <row r="24" spans="2:18" ht="12.75">
      <c r="B24" s="472"/>
      <c r="C24" s="474" t="s">
        <v>1400</v>
      </c>
      <c r="D24" s="495" t="s">
        <v>1401</v>
      </c>
      <c r="E24" s="496" t="s">
        <v>1402</v>
      </c>
      <c r="F24" s="497" t="s">
        <v>1403</v>
      </c>
      <c r="G24" s="498" t="s">
        <v>1404</v>
      </c>
      <c r="H24" s="489"/>
      <c r="I24" s="485"/>
      <c r="J24" s="485"/>
      <c r="K24" s="490"/>
      <c r="L24" s="490"/>
      <c r="M24" s="490"/>
      <c r="N24" s="490"/>
      <c r="O24" s="490"/>
      <c r="P24" s="490"/>
      <c r="Q24" s="490"/>
      <c r="R24" s="490"/>
    </row>
    <row r="25" spans="2:18" ht="12.75">
      <c r="B25" s="472" t="s">
        <v>106</v>
      </c>
      <c r="C25" s="499">
        <f>+Meni!C7</f>
        <v>0.02</v>
      </c>
      <c r="D25" s="499">
        <f>+Meni!D7</f>
        <v>0.02</v>
      </c>
      <c r="E25" s="499">
        <f>+Meni!E7</f>
        <v>0.013333333333333332</v>
      </c>
      <c r="F25" s="499">
        <f>+Meni!F7</f>
        <v>0.013333333333333332</v>
      </c>
      <c r="G25" s="499">
        <f>+Meni!G7</f>
        <v>0.013333333333333332</v>
      </c>
      <c r="I25" s="991"/>
      <c r="J25" s="991"/>
      <c r="K25" s="991"/>
      <c r="L25" s="991"/>
      <c r="M25" s="991"/>
      <c r="N25" s="991"/>
      <c r="O25" s="991"/>
      <c r="P25" s="991"/>
      <c r="Q25" s="991"/>
      <c r="R25" s="991"/>
    </row>
    <row r="26" spans="4:18" ht="12.75">
      <c r="D26" s="485"/>
      <c r="E26" s="486"/>
      <c r="F26" s="487"/>
      <c r="I26" s="490"/>
      <c r="J26" s="490"/>
      <c r="K26" s="490"/>
      <c r="L26" s="490"/>
      <c r="M26" s="490"/>
      <c r="N26" s="490"/>
      <c r="O26" s="490"/>
      <c r="P26" s="490"/>
      <c r="Q26" s="490"/>
      <c r="R26" s="490"/>
    </row>
    <row r="27" spans="3:18" ht="12.75">
      <c r="C27" s="490"/>
      <c r="D27" s="485"/>
      <c r="E27" s="500"/>
      <c r="F27" s="500"/>
      <c r="G27" s="501"/>
      <c r="H27" s="501"/>
      <c r="I27" s="502"/>
      <c r="J27" s="503"/>
      <c r="K27" s="503"/>
      <c r="L27" s="503"/>
      <c r="M27" s="503"/>
      <c r="N27" s="503"/>
      <c r="O27" s="503"/>
      <c r="P27" s="503"/>
      <c r="Q27" s="503"/>
      <c r="R27" s="503"/>
    </row>
    <row r="30" spans="2:11" ht="12.75">
      <c r="B30" s="504" t="s">
        <v>107</v>
      </c>
      <c r="C30" s="504"/>
      <c r="F30" s="505"/>
      <c r="G30" s="506"/>
      <c r="I30" s="490"/>
      <c r="J30" s="490"/>
      <c r="K30" s="490"/>
    </row>
    <row r="31" spans="2:11" ht="12.75">
      <c r="B31" s="504"/>
      <c r="C31" s="504"/>
      <c r="E31" s="507"/>
      <c r="F31" s="505"/>
      <c r="G31" s="506"/>
      <c r="I31" s="490"/>
      <c r="J31" s="490"/>
      <c r="K31" s="490"/>
    </row>
    <row r="32" spans="2:11" ht="12.75">
      <c r="B32" s="508" t="s">
        <v>108</v>
      </c>
      <c r="C32" s="508"/>
      <c r="D32" s="509">
        <f>Meni!C4</f>
        <v>10678.698752228163</v>
      </c>
      <c r="E32" s="510" t="s">
        <v>299</v>
      </c>
      <c r="F32" s="511"/>
      <c r="G32" s="512"/>
      <c r="H32" s="472"/>
      <c r="I32" s="490"/>
      <c r="J32" s="490"/>
      <c r="K32" s="490"/>
    </row>
    <row r="33" spans="2:11" ht="12.75">
      <c r="B33" s="508" t="s">
        <v>109</v>
      </c>
      <c r="C33" s="508"/>
      <c r="D33" s="509">
        <f>Bilansi!C113</f>
        <v>23963</v>
      </c>
      <c r="E33" s="510" t="s">
        <v>300</v>
      </c>
      <c r="F33" s="511"/>
      <c r="G33" s="512"/>
      <c r="H33" s="472"/>
      <c r="I33" s="490"/>
      <c r="J33" s="490"/>
      <c r="K33" s="490"/>
    </row>
    <row r="34" spans="2:11" ht="12.75">
      <c r="B34" s="472"/>
      <c r="C34" s="472"/>
      <c r="D34" s="472"/>
      <c r="E34" s="513"/>
      <c r="F34" s="514"/>
      <c r="G34" s="472"/>
      <c r="H34" s="472"/>
      <c r="I34" s="490"/>
      <c r="J34" s="490"/>
      <c r="K34" s="490"/>
    </row>
    <row r="35" spans="2:8" ht="12.75">
      <c r="B35" s="992"/>
      <c r="C35" s="515"/>
      <c r="D35" s="990" t="s">
        <v>1399</v>
      </c>
      <c r="E35" s="990"/>
      <c r="F35" s="990"/>
      <c r="G35" s="990"/>
      <c r="H35" s="990"/>
    </row>
    <row r="36" spans="2:8" ht="12.75">
      <c r="B36" s="992"/>
      <c r="C36" s="515"/>
      <c r="D36" s="516" t="s">
        <v>1400</v>
      </c>
      <c r="E36" s="516" t="s">
        <v>1401</v>
      </c>
      <c r="F36" s="516" t="s">
        <v>1402</v>
      </c>
      <c r="G36" s="516" t="s">
        <v>1403</v>
      </c>
      <c r="H36" s="516" t="s">
        <v>1404</v>
      </c>
    </row>
    <row r="37" spans="2:11" ht="12.75">
      <c r="B37" s="472"/>
      <c r="C37" s="472"/>
      <c r="D37" s="516"/>
      <c r="E37" s="516"/>
      <c r="F37" s="516"/>
      <c r="G37" s="516"/>
      <c r="H37" s="516"/>
      <c r="I37" s="490"/>
      <c r="J37" s="490"/>
      <c r="K37" s="490"/>
    </row>
    <row r="38" spans="2:8" ht="12.75">
      <c r="B38" s="472" t="s">
        <v>112</v>
      </c>
      <c r="C38" s="472"/>
      <c r="D38" s="517">
        <f>+C25</f>
        <v>0.02</v>
      </c>
      <c r="E38" s="517">
        <f>+D25</f>
        <v>0.02</v>
      </c>
      <c r="F38" s="517">
        <f>+E25</f>
        <v>0.013333333333333332</v>
      </c>
      <c r="G38" s="517">
        <f>+F25</f>
        <v>0.013333333333333332</v>
      </c>
      <c r="H38" s="517">
        <f>+G25</f>
        <v>0.013333333333333332</v>
      </c>
    </row>
    <row r="39" spans="2:8" ht="12.75">
      <c r="B39" s="472" t="s">
        <v>111</v>
      </c>
      <c r="C39" s="472"/>
      <c r="D39" s="518">
        <f>D32*D38+D32</f>
        <v>10892.272727272726</v>
      </c>
      <c r="E39" s="518">
        <f>D39*E38+D39</f>
        <v>11110.118181818181</v>
      </c>
      <c r="F39" s="518">
        <f>E39*F38+E39</f>
        <v>11258.253090909091</v>
      </c>
      <c r="G39" s="518">
        <f>F39*G38+F39</f>
        <v>11408.363132121212</v>
      </c>
      <c r="H39" s="518">
        <f>G39*H38+G39</f>
        <v>11560.474640549495</v>
      </c>
    </row>
    <row r="40" spans="2:8" ht="12.75">
      <c r="B40" s="472" t="s">
        <v>113</v>
      </c>
      <c r="C40" s="472"/>
      <c r="D40" s="518">
        <v>187</v>
      </c>
      <c r="E40" s="518">
        <f>D44</f>
        <v>183.26</v>
      </c>
      <c r="F40" s="518">
        <f>E44</f>
        <v>179.5948</v>
      </c>
      <c r="G40" s="518">
        <f>F44</f>
        <v>176.002904</v>
      </c>
      <c r="H40" s="518">
        <f>G44</f>
        <v>172.48284592000002</v>
      </c>
    </row>
    <row r="41" spans="2:8" ht="12.75">
      <c r="B41" s="472" t="s">
        <v>114</v>
      </c>
      <c r="C41" s="472"/>
      <c r="D41" s="519">
        <f>+D40*0.03</f>
        <v>5.609999999999999</v>
      </c>
      <c r="E41" s="519">
        <f>+E40*0.03</f>
        <v>5.4978</v>
      </c>
      <c r="F41" s="519">
        <f>+F40*0.03</f>
        <v>5.387843999999999</v>
      </c>
      <c r="G41" s="519">
        <f>+G40*0.03</f>
        <v>5.28008712</v>
      </c>
      <c r="H41" s="519">
        <f>+H40*0.03</f>
        <v>5.1744853776</v>
      </c>
    </row>
    <row r="42" spans="2:8" ht="12.75">
      <c r="B42" s="472" t="s">
        <v>115</v>
      </c>
      <c r="C42" s="472"/>
      <c r="D42" s="519"/>
      <c r="E42" s="519">
        <v>0</v>
      </c>
      <c r="F42" s="519">
        <v>0</v>
      </c>
      <c r="G42" s="519">
        <v>0</v>
      </c>
      <c r="H42" s="519">
        <v>0</v>
      </c>
    </row>
    <row r="43" spans="2:8" ht="12.75">
      <c r="B43" s="472" t="s">
        <v>116</v>
      </c>
      <c r="C43" s="472"/>
      <c r="D43" s="519">
        <f>+D40*0.01</f>
        <v>1.87</v>
      </c>
      <c r="E43" s="519">
        <f>+E40*0.01</f>
        <v>1.8326</v>
      </c>
      <c r="F43" s="519">
        <f>+F40*0.01</f>
        <v>1.7959479999999999</v>
      </c>
      <c r="G43" s="519">
        <f>+G40*0.01</f>
        <v>1.76002904</v>
      </c>
      <c r="H43" s="519">
        <f>+H40*0.01</f>
        <v>1.7248284592000003</v>
      </c>
    </row>
    <row r="44" spans="2:8" ht="12.75">
      <c r="B44" s="472" t="s">
        <v>117</v>
      </c>
      <c r="C44" s="472"/>
      <c r="D44" s="519">
        <f>+D40-D41-D42+D43</f>
        <v>183.26</v>
      </c>
      <c r="E44" s="519">
        <f>+E40-E41-E42+E43</f>
        <v>179.5948</v>
      </c>
      <c r="F44" s="519">
        <f>+F40-F41-F42+F43</f>
        <v>176.002904</v>
      </c>
      <c r="G44" s="519">
        <f>+G40-G41-G42+G43</f>
        <v>172.48284592000002</v>
      </c>
      <c r="H44" s="519">
        <f>+H40-H41-H42+H43</f>
        <v>169.03318900160002</v>
      </c>
    </row>
    <row r="45" spans="2:8" ht="12.75">
      <c r="B45" s="520" t="s">
        <v>118</v>
      </c>
      <c r="C45" s="472"/>
      <c r="D45" s="521">
        <f>(D47*D39*12)/1000</f>
        <v>24197.837399999997</v>
      </c>
      <c r="E45" s="521">
        <f>(E47*E39*12)/1000</f>
        <v>24188.158265039994</v>
      </c>
      <c r="F45" s="521">
        <f>(F47*F39*12)/1000</f>
        <v>24020.45370106906</v>
      </c>
      <c r="G45" s="521">
        <f>(G47*G39*12)/1000</f>
        <v>23853.91188874164</v>
      </c>
      <c r="H45" s="521">
        <f>(H47*H39*12)/1000</f>
        <v>23688.52476631304</v>
      </c>
    </row>
    <row r="46" spans="2:8" ht="12.75">
      <c r="B46" s="522"/>
      <c r="C46" s="522"/>
      <c r="D46" s="523"/>
      <c r="E46" s="523"/>
      <c r="F46" s="523"/>
      <c r="G46" s="523"/>
      <c r="H46" s="523"/>
    </row>
    <row r="47" spans="2:8" ht="12.75">
      <c r="B47" s="472" t="s">
        <v>1410</v>
      </c>
      <c r="C47" s="472"/>
      <c r="D47" s="524">
        <f>(D40+D44)/2</f>
        <v>185.13</v>
      </c>
      <c r="E47" s="524">
        <f>(E40+E44)/2</f>
        <v>181.42739999999998</v>
      </c>
      <c r="F47" s="524">
        <f>(F40+F44)/2</f>
        <v>177.798852</v>
      </c>
      <c r="G47" s="524">
        <f>(G40+G44)/2</f>
        <v>174.24287496</v>
      </c>
      <c r="H47" s="524">
        <f>(H40+H44)/2</f>
        <v>170.75801746080003</v>
      </c>
    </row>
    <row r="48" spans="2:8" ht="12.75">
      <c r="B48" s="525"/>
      <c r="C48" s="525"/>
      <c r="D48" s="526"/>
      <c r="E48" s="526"/>
      <c r="F48" s="526"/>
      <c r="G48" s="526"/>
      <c r="H48" s="526"/>
    </row>
    <row r="49" spans="2:8" ht="13.5" thickBot="1">
      <c r="B49" s="527" t="s">
        <v>119</v>
      </c>
      <c r="D49" s="528"/>
      <c r="E49" s="528"/>
      <c r="F49" s="528"/>
      <c r="G49" s="528"/>
      <c r="H49" s="528"/>
    </row>
    <row r="50" spans="2:8" ht="13.5" thickTop="1">
      <c r="B50" s="529"/>
      <c r="D50" s="528"/>
      <c r="E50" s="528"/>
      <c r="F50" s="528"/>
      <c r="G50" s="528"/>
      <c r="H50" s="528"/>
    </row>
    <row r="51" spans="2:8" ht="12.75">
      <c r="B51" s="508"/>
      <c r="C51" s="472" t="s">
        <v>311</v>
      </c>
      <c r="D51" s="990" t="s">
        <v>1399</v>
      </c>
      <c r="E51" s="990"/>
      <c r="F51" s="990"/>
      <c r="G51" s="990"/>
      <c r="H51" s="990"/>
    </row>
    <row r="52" spans="2:8" ht="12.75">
      <c r="B52" s="472"/>
      <c r="C52" s="472"/>
      <c r="D52" s="516" t="s">
        <v>1400</v>
      </c>
      <c r="E52" s="516" t="s">
        <v>1401</v>
      </c>
      <c r="F52" s="516" t="s">
        <v>1402</v>
      </c>
      <c r="G52" s="516" t="s">
        <v>1403</v>
      </c>
      <c r="H52" s="516" t="s">
        <v>1404</v>
      </c>
    </row>
    <row r="53" spans="2:8" ht="12.75">
      <c r="B53" s="472"/>
      <c r="C53" s="472"/>
      <c r="D53" s="516"/>
      <c r="E53" s="516"/>
      <c r="F53" s="516"/>
      <c r="G53" s="516"/>
      <c r="H53" s="516"/>
    </row>
    <row r="54" spans="2:8" ht="12.75">
      <c r="B54" s="472"/>
      <c r="C54" s="530">
        <f>+Bilansi!D114</f>
        <v>0.1982178198128313</v>
      </c>
      <c r="D54" s="531">
        <f>+C25/2</f>
        <v>0.01</v>
      </c>
      <c r="E54" s="531">
        <f>+D25/2</f>
        <v>0.01</v>
      </c>
      <c r="F54" s="531">
        <f>+E25/2</f>
        <v>0.006666666666666666</v>
      </c>
      <c r="G54" s="531">
        <f>+F25/2</f>
        <v>0.006666666666666666</v>
      </c>
      <c r="H54" s="531">
        <f>+G25/2</f>
        <v>0.006666666666666666</v>
      </c>
    </row>
    <row r="55" spans="2:8" ht="12.75">
      <c r="B55" s="472"/>
      <c r="C55" s="472"/>
      <c r="D55" s="518"/>
      <c r="E55" s="518"/>
      <c r="F55" s="518"/>
      <c r="G55" s="518"/>
      <c r="H55" s="518"/>
    </row>
    <row r="56" spans="4:8" ht="12.75">
      <c r="D56" s="528"/>
      <c r="E56" s="528"/>
      <c r="F56" s="528"/>
      <c r="G56" s="528"/>
      <c r="H56" s="528"/>
    </row>
    <row r="57" spans="2:3" ht="12.75">
      <c r="B57" s="504" t="s">
        <v>120</v>
      </c>
      <c r="C57" s="504"/>
    </row>
    <row r="58" spans="9:21" ht="12.75"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ht="12.75">
      <c r="B59" s="472"/>
      <c r="C59" s="473" t="s">
        <v>309</v>
      </c>
      <c r="D59" s="474" t="s">
        <v>100</v>
      </c>
      <c r="E59" s="993" t="s">
        <v>285</v>
      </c>
      <c r="F59" s="993"/>
      <c r="G59" s="988" t="s">
        <v>122</v>
      </c>
      <c r="H59" s="98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ht="12.75">
      <c r="B60" s="472"/>
      <c r="C60" s="473" t="s">
        <v>310</v>
      </c>
      <c r="D60" s="474" t="s">
        <v>298</v>
      </c>
      <c r="E60" s="474" t="s">
        <v>101</v>
      </c>
      <c r="F60" s="474" t="s">
        <v>284</v>
      </c>
      <c r="G60" s="474" t="str">
        <f>+E60</f>
        <v>Fiksni </v>
      </c>
      <c r="H60" s="474" t="s">
        <v>284</v>
      </c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2:21" ht="12.75">
      <c r="B61" s="472" t="s">
        <v>121</v>
      </c>
      <c r="C61" s="518">
        <f>+C3</f>
        <v>100551</v>
      </c>
      <c r="D61" s="533">
        <f>SUM(D63:D65)</f>
        <v>34668</v>
      </c>
      <c r="E61" s="478">
        <f>+AVERAGE(E63:E66)</f>
        <v>0.7333333333333334</v>
      </c>
      <c r="F61" s="478">
        <f>+AVERAGE(F63:F65)</f>
        <v>0.26666666666666666</v>
      </c>
      <c r="G61" s="479">
        <f>+(D61*E61)/C61</f>
        <v>0.2528388578930095</v>
      </c>
      <c r="H61" s="479">
        <f>+(D61*F61)/C61</f>
        <v>0.09194140287018528</v>
      </c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2:21" ht="12.75">
      <c r="B62" s="472"/>
      <c r="C62" s="472"/>
      <c r="D62" s="534"/>
      <c r="E62" s="480"/>
      <c r="F62" s="480"/>
      <c r="G62" s="535"/>
      <c r="H62" s="48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2.75">
      <c r="A63" s="475">
        <v>1</v>
      </c>
      <c r="B63" s="472" t="str">
        <f>+Bilansi!B114</f>
        <v>      Troškovi proizvodnih usluga</v>
      </c>
      <c r="C63" s="518">
        <f>+C61</f>
        <v>100551</v>
      </c>
      <c r="D63" s="533">
        <f>+Ulaz!F158</f>
        <v>19931</v>
      </c>
      <c r="E63" s="478">
        <f>100%-F63</f>
        <v>0.5</v>
      </c>
      <c r="F63" s="478">
        <v>0.5</v>
      </c>
      <c r="G63" s="479">
        <f>+(D63*E63)/C63</f>
        <v>0.09910890990641565</v>
      </c>
      <c r="H63" s="479">
        <f>+(D63*F63)/C63</f>
        <v>0.09910890990641565</v>
      </c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2.75">
      <c r="A64" s="475">
        <v>3</v>
      </c>
      <c r="B64" s="472" t="str">
        <f>+Bilansi!B116</f>
        <v>      Nematerijalni troškovi</v>
      </c>
      <c r="C64" s="518">
        <f>+C63</f>
        <v>100551</v>
      </c>
      <c r="D64" s="533">
        <f>+Ulaz!F160+Ulaz!F161</f>
        <v>9765</v>
      </c>
      <c r="E64" s="478">
        <f>100%-F64</f>
        <v>0.8</v>
      </c>
      <c r="F64" s="478">
        <v>0.2</v>
      </c>
      <c r="G64" s="479">
        <f>+(D64*E64)/C64</f>
        <v>0.07769191753438554</v>
      </c>
      <c r="H64" s="479">
        <f>+(D64*F64)/C64</f>
        <v>0.019422979383596384</v>
      </c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2.75">
      <c r="A65" s="475">
        <v>4</v>
      </c>
      <c r="B65" s="472" t="str">
        <f>+Bilansi!B117</f>
        <v>      Troškovi poreza i doprinosa</v>
      </c>
      <c r="C65" s="518">
        <f>+C63</f>
        <v>100551</v>
      </c>
      <c r="D65" s="533">
        <f>+Ulaz!F162+Ulaz!F163</f>
        <v>4972</v>
      </c>
      <c r="E65" s="478">
        <f>100%-F65</f>
        <v>0.9</v>
      </c>
      <c r="F65" s="478">
        <v>0.1</v>
      </c>
      <c r="G65" s="479">
        <f>+(D65*E65)/C65</f>
        <v>0.04450278962914342</v>
      </c>
      <c r="H65" s="479">
        <f>+(D65*F65)/C65</f>
        <v>0.004944754403238158</v>
      </c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2.75">
      <c r="A66" s="320"/>
      <c r="B66" s="320"/>
      <c r="C66" s="320"/>
      <c r="D66" s="320"/>
      <c r="E66" s="320"/>
      <c r="F66" s="320"/>
      <c r="G66" s="320"/>
      <c r="H66" s="320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9:21" ht="12.75"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2:21" ht="12.75">
      <c r="B68" s="472"/>
      <c r="C68" s="990" t="s">
        <v>1399</v>
      </c>
      <c r="D68" s="990"/>
      <c r="E68" s="990"/>
      <c r="F68" s="990"/>
      <c r="G68" s="990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2:21" ht="12.75">
      <c r="B69" s="472"/>
      <c r="C69" s="516" t="s">
        <v>1400</v>
      </c>
      <c r="D69" s="516" t="s">
        <v>1401</v>
      </c>
      <c r="E69" s="516" t="s">
        <v>1402</v>
      </c>
      <c r="F69" s="516" t="s">
        <v>1403</v>
      </c>
      <c r="G69" s="516" t="s">
        <v>1404</v>
      </c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2:7" ht="12.75">
      <c r="B70" s="520" t="s">
        <v>121</v>
      </c>
      <c r="C70" s="532">
        <f>+C73+C76+C79</f>
        <v>36689.19335794726</v>
      </c>
      <c r="D70" s="532">
        <f>+D73+D76+D79</f>
        <v>36945.00722524302</v>
      </c>
      <c r="E70" s="532">
        <f>+E73+E76+E79</f>
        <v>37129.632354867324</v>
      </c>
      <c r="F70" s="532">
        <f>+F73+F76+F79</f>
        <v>37305.90516369192</v>
      </c>
      <c r="G70" s="532">
        <f>+G73+G76+G79</f>
        <v>37491.78503254115</v>
      </c>
    </row>
    <row r="71" spans="2:7" ht="12.75">
      <c r="B71" s="472"/>
      <c r="C71" s="472"/>
      <c r="D71" s="472"/>
      <c r="E71" s="472"/>
      <c r="F71" s="472"/>
      <c r="G71" s="472"/>
    </row>
    <row r="72" spans="2:7" ht="12.75" hidden="1">
      <c r="B72" s="472" t="s">
        <v>312</v>
      </c>
      <c r="C72" s="476">
        <f>C74+C75</f>
        <v>21158.548228744527</v>
      </c>
      <c r="D72" s="476">
        <f>D74+D75</f>
        <v>21372.44369331942</v>
      </c>
      <c r="E72" s="476">
        <f>E74+E75</f>
        <v>21517.892609230345</v>
      </c>
      <c r="F72" s="476">
        <f>F74+F75</f>
        <v>21665.280844020082</v>
      </c>
      <c r="G72" s="476">
        <f>G74+G75</f>
        <v>21814.63425527369</v>
      </c>
    </row>
    <row r="73" spans="2:7" ht="12.75">
      <c r="B73" s="472" t="str">
        <f>B63</f>
        <v>      Troškovi proizvodnih usluga</v>
      </c>
      <c r="C73" s="476">
        <f>C74+C75</f>
        <v>21158.548228744527</v>
      </c>
      <c r="D73" s="476">
        <f>D74+D75</f>
        <v>21372.44369331942</v>
      </c>
      <c r="E73" s="476">
        <f>E74+E75</f>
        <v>21517.892609230345</v>
      </c>
      <c r="F73" s="476">
        <f>F74+F75</f>
        <v>21665.280844020082</v>
      </c>
      <c r="G73" s="476">
        <f>G74+G75</f>
        <v>21814.63425527369</v>
      </c>
    </row>
    <row r="74" spans="2:7" ht="12.75">
      <c r="B74" s="472" t="s">
        <v>167</v>
      </c>
      <c r="C74" s="533">
        <f>D63*Meni!$C$49*E63</f>
        <v>10463.775</v>
      </c>
      <c r="D74" s="533">
        <f>+C74</f>
        <v>10463.775</v>
      </c>
      <c r="E74" s="533">
        <f>+D74</f>
        <v>10463.775</v>
      </c>
      <c r="F74" s="533">
        <f>+E74</f>
        <v>10463.775</v>
      </c>
      <c r="G74" s="533">
        <f>+F74</f>
        <v>10463.775</v>
      </c>
    </row>
    <row r="75" spans="2:7" ht="12.75">
      <c r="B75" s="472" t="s">
        <v>168</v>
      </c>
      <c r="C75" s="533">
        <f>+H63*'P,R, BU'!$C$55</f>
        <v>10694.773228744529</v>
      </c>
      <c r="D75" s="533">
        <f>+H63*'P,R, BU'!$D$55</f>
        <v>10908.66869331942</v>
      </c>
      <c r="E75" s="533">
        <f>+H63*'P,R, BU'!$E$55</f>
        <v>11054.117609230347</v>
      </c>
      <c r="F75" s="533">
        <f>+H63*'P,R, BU'!$F$55</f>
        <v>11201.505844020085</v>
      </c>
      <c r="G75" s="533">
        <f>+H63*'P,R, BU'!$G$55</f>
        <v>11350.859255273688</v>
      </c>
    </row>
    <row r="76" spans="2:7" ht="12.75">
      <c r="B76" s="472" t="str">
        <f>B64</f>
        <v>      Nematerijalni troškovi</v>
      </c>
      <c r="C76" s="476">
        <f>C77+C78</f>
        <v>10298.520136043157</v>
      </c>
      <c r="D76" s="476">
        <f>D77+D78</f>
        <v>10340.43853876402</v>
      </c>
      <c r="E76" s="476">
        <f>E77+E78</f>
        <v>10368.943052614206</v>
      </c>
      <c r="F76" s="476">
        <f>F77+F78</f>
        <v>10397.827626649063</v>
      </c>
      <c r="G76" s="476">
        <f>G77+G78</f>
        <v>10427.097328337717</v>
      </c>
    </row>
    <row r="77" spans="2:7" ht="12.75">
      <c r="B77" s="472" t="s">
        <v>167</v>
      </c>
      <c r="C77" s="533">
        <f>D64*Meni!$C$49*E64</f>
        <v>8202.6</v>
      </c>
      <c r="D77" s="533">
        <f>+C77</f>
        <v>8202.6</v>
      </c>
      <c r="E77" s="533">
        <f>+D77</f>
        <v>8202.6</v>
      </c>
      <c r="F77" s="533">
        <f>+E77</f>
        <v>8202.6</v>
      </c>
      <c r="G77" s="533">
        <f>+F77</f>
        <v>8202.6</v>
      </c>
    </row>
    <row r="78" spans="2:7" ht="12.75">
      <c r="B78" s="472" t="s">
        <v>168</v>
      </c>
      <c r="C78" s="533">
        <f>+H64*'P,R, BU'!$C$55</f>
        <v>2095.9201360431557</v>
      </c>
      <c r="D78" s="533">
        <f>+H64*'P,R, BU'!$D$55</f>
        <v>2137.8385387640187</v>
      </c>
      <c r="E78" s="533">
        <f>+H64*'P,R, BU'!$E$55</f>
        <v>2166.3430526142056</v>
      </c>
      <c r="F78" s="533">
        <f>+H64*'P,R, BU'!$F$55</f>
        <v>2195.227626649062</v>
      </c>
      <c r="G78" s="533">
        <f>+H64*'P,R, BU'!$G$55</f>
        <v>2224.497328337716</v>
      </c>
    </row>
    <row r="79" spans="2:7" ht="12.75">
      <c r="B79" s="472" t="str">
        <f>B65</f>
        <v>      Troškovi poreza i doprinosa</v>
      </c>
      <c r="C79" s="476">
        <f>C80+C81</f>
        <v>5232.124993159579</v>
      </c>
      <c r="D79" s="476">
        <f>C81+D80</f>
        <v>5232.124993159579</v>
      </c>
      <c r="E79" s="476">
        <f>D80+D81</f>
        <v>5242.796693022771</v>
      </c>
      <c r="F79" s="476">
        <f>D81+E80</f>
        <v>5242.796693022771</v>
      </c>
      <c r="G79" s="476">
        <f>E80+E81</f>
        <v>5250.0534489297415</v>
      </c>
    </row>
    <row r="80" spans="2:7" ht="12.75">
      <c r="B80" s="472" t="s">
        <v>167</v>
      </c>
      <c r="C80" s="533">
        <f>D65*Meni!$C$49*E65</f>
        <v>4698.540000000001</v>
      </c>
      <c r="D80" s="533">
        <f>+C80</f>
        <v>4698.540000000001</v>
      </c>
      <c r="E80" s="533">
        <f>+D80</f>
        <v>4698.540000000001</v>
      </c>
      <c r="F80" s="533">
        <f>+E80</f>
        <v>4698.540000000001</v>
      </c>
      <c r="G80" s="533">
        <f>+F80</f>
        <v>4698.540000000001</v>
      </c>
    </row>
    <row r="81" spans="2:7" ht="12.75">
      <c r="B81" s="472" t="s">
        <v>168</v>
      </c>
      <c r="C81" s="533">
        <f>+H65*'P,R, BU'!$C$55</f>
        <v>533.5849931595786</v>
      </c>
      <c r="D81" s="533">
        <f>+H65*'P,R, BU'!$D$55</f>
        <v>544.2566930227702</v>
      </c>
      <c r="E81" s="533">
        <f>+H65*'P,R, BU'!$E$55</f>
        <v>551.5134489297405</v>
      </c>
      <c r="F81" s="533">
        <f>+H65*'P,R, BU'!$F$55</f>
        <v>558.866961582137</v>
      </c>
      <c r="G81" s="533">
        <f>+H65*'P,R, BU'!$G$55</f>
        <v>566.3185210698989</v>
      </c>
    </row>
  </sheetData>
  <sheetProtection/>
  <mergeCells count="19">
    <mergeCell ref="C68:G68"/>
    <mergeCell ref="K11:L11"/>
    <mergeCell ref="E1:F1"/>
    <mergeCell ref="C11:D11"/>
    <mergeCell ref="E11:F11"/>
    <mergeCell ref="G11:H11"/>
    <mergeCell ref="G1:H1"/>
    <mergeCell ref="I11:J11"/>
    <mergeCell ref="C23:G23"/>
    <mergeCell ref="E59:F59"/>
    <mergeCell ref="G59:H59"/>
    <mergeCell ref="D51:H51"/>
    <mergeCell ref="Q25:R25"/>
    <mergeCell ref="K25:L25"/>
    <mergeCell ref="O25:P25"/>
    <mergeCell ref="B35:B36"/>
    <mergeCell ref="D35:H35"/>
    <mergeCell ref="I25:J25"/>
    <mergeCell ref="M25:N25"/>
  </mergeCells>
  <printOptions horizontalCentered="1" verticalCentered="1"/>
  <pageMargins left="0.17" right="0.18" top="1" bottom="1" header="0.5" footer="0.5"/>
  <pageSetup fitToHeight="1" fitToWidth="1" horizontalDpi="120" verticalDpi="12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200"/>
  <sheetViews>
    <sheetView zoomScalePageLayoutView="0" workbookViewId="0" topLeftCell="A100">
      <selection activeCell="C123" sqref="C123"/>
    </sheetView>
  </sheetViews>
  <sheetFormatPr defaultColWidth="9.140625" defaultRowHeight="12.75"/>
  <cols>
    <col min="1" max="1" width="9.140625" style="2" customWidth="1"/>
    <col min="2" max="2" width="29.421875" style="2" customWidth="1"/>
    <col min="3" max="3" width="10.140625" style="2" customWidth="1"/>
    <col min="4" max="8" width="9.140625" style="2" customWidth="1"/>
    <col min="9" max="9" width="11.28125" style="2" bestFit="1" customWidth="1"/>
    <col min="10" max="10" width="10.00390625" style="2" bestFit="1" customWidth="1"/>
    <col min="11" max="11" width="16.28125" style="2" customWidth="1"/>
    <col min="12" max="16384" width="9.140625" style="2" customWidth="1"/>
  </cols>
  <sheetData>
    <row r="2" ht="12.75">
      <c r="B2" s="1" t="s">
        <v>1397</v>
      </c>
    </row>
    <row r="3" ht="13.5" thickBot="1"/>
    <row r="4" spans="2:7" ht="13.5" thickTop="1">
      <c r="B4" s="995" t="s">
        <v>1398</v>
      </c>
      <c r="C4" s="994" t="s">
        <v>1399</v>
      </c>
      <c r="D4" s="994"/>
      <c r="E4" s="994"/>
      <c r="F4" s="994"/>
      <c r="G4" s="994"/>
    </row>
    <row r="5" spans="2:7" ht="13.5" thickBot="1">
      <c r="B5" s="996"/>
      <c r="C5" s="52" t="s">
        <v>1400</v>
      </c>
      <c r="D5" s="52" t="s">
        <v>1401</v>
      </c>
      <c r="E5" s="52" t="s">
        <v>1402</v>
      </c>
      <c r="F5" s="52" t="s">
        <v>1403</v>
      </c>
      <c r="G5" s="52" t="s">
        <v>1404</v>
      </c>
    </row>
    <row r="6" spans="3:7" ht="13.5" thickTop="1">
      <c r="C6" s="53"/>
      <c r="D6" s="53"/>
      <c r="E6" s="53"/>
      <c r="F6" s="53"/>
      <c r="G6" s="53"/>
    </row>
    <row r="7" spans="2:7" ht="12.75">
      <c r="B7" s="2" t="s">
        <v>123</v>
      </c>
      <c r="C7" s="15">
        <f>Meni!C7</f>
        <v>0.02</v>
      </c>
      <c r="D7" s="15">
        <f>Meni!D7</f>
        <v>0.02</v>
      </c>
      <c r="E7" s="15">
        <f>Meni!E7</f>
        <v>0.013333333333333332</v>
      </c>
      <c r="F7" s="15">
        <f>Meni!F7</f>
        <v>0.013333333333333332</v>
      </c>
      <c r="G7" s="15">
        <f>Meni!G7</f>
        <v>0.013333333333333332</v>
      </c>
    </row>
    <row r="8" spans="3:7" ht="12.75" hidden="1">
      <c r="C8" s="54">
        <f>+C7/1</f>
        <v>0.02</v>
      </c>
      <c r="D8" s="54">
        <f>+D7/1</f>
        <v>0.02</v>
      </c>
      <c r="E8" s="54">
        <f>+E7/1</f>
        <v>0.013333333333333332</v>
      </c>
      <c r="F8" s="54">
        <f>+F7/1</f>
        <v>0.013333333333333332</v>
      </c>
      <c r="G8" s="54">
        <f>+G7/1</f>
        <v>0.013333333333333332</v>
      </c>
    </row>
    <row r="9" spans="2:7" ht="15" customHeight="1">
      <c r="B9" s="2" t="s">
        <v>91</v>
      </c>
      <c r="C9" s="15">
        <f>Meni!C8</f>
        <v>0</v>
      </c>
      <c r="D9" s="15">
        <f>Meni!D8</f>
        <v>0</v>
      </c>
      <c r="E9" s="15">
        <f>Meni!E8</f>
        <v>0</v>
      </c>
      <c r="F9" s="15">
        <f>Meni!F8</f>
        <v>0</v>
      </c>
      <c r="G9" s="15">
        <f>Meni!G8</f>
        <v>0</v>
      </c>
    </row>
    <row r="10" spans="3:7" ht="12.75" hidden="1">
      <c r="C10" s="15">
        <f>C9</f>
        <v>0</v>
      </c>
      <c r="D10" s="15">
        <f>D9</f>
        <v>0</v>
      </c>
      <c r="E10" s="15">
        <f>E9</f>
        <v>0</v>
      </c>
      <c r="F10" s="15">
        <f>F9</f>
        <v>0</v>
      </c>
      <c r="G10" s="15">
        <f>G9</f>
        <v>0</v>
      </c>
    </row>
    <row r="11" spans="2:7" ht="12.75">
      <c r="B11" s="2" t="s">
        <v>93</v>
      </c>
      <c r="C11" s="15">
        <f>Meni!C9</f>
        <v>0</v>
      </c>
      <c r="D11" s="15">
        <f>Meni!D9</f>
        <v>0</v>
      </c>
      <c r="E11" s="15">
        <f>Meni!E9</f>
        <v>0</v>
      </c>
      <c r="F11" s="15">
        <f>Meni!F9</f>
        <v>0</v>
      </c>
      <c r="G11" s="15">
        <f>Meni!G9</f>
        <v>0</v>
      </c>
    </row>
    <row r="12" spans="3:7" ht="12.75" hidden="1">
      <c r="C12" s="54">
        <f>+C11/1</f>
        <v>0</v>
      </c>
      <c r="D12" s="54">
        <f>+D11/1</f>
        <v>0</v>
      </c>
      <c r="E12" s="54">
        <f>+E11/1</f>
        <v>0</v>
      </c>
      <c r="F12" s="54">
        <f>+F11/1</f>
        <v>0</v>
      </c>
      <c r="G12" s="54">
        <f>+G11/1</f>
        <v>0</v>
      </c>
    </row>
    <row r="13" spans="2:7" ht="12.75">
      <c r="B13" s="8" t="s">
        <v>124</v>
      </c>
      <c r="C13" s="55">
        <f>+(1+C8)*(1+C10)*(1+C12)-1</f>
        <v>0.020000000000000018</v>
      </c>
      <c r="D13" s="55">
        <f>+(1+D8)*(1+D10)*(1+D12)-1</f>
        <v>0.020000000000000018</v>
      </c>
      <c r="E13" s="55">
        <f>+(1+E8)*(1+E10)*(1+E12)-1</f>
        <v>0.01333333333333342</v>
      </c>
      <c r="F13" s="55">
        <f>+(1+F8)*(1+F10)*(1+F12)-1</f>
        <v>0.01333333333333342</v>
      </c>
      <c r="G13" s="55">
        <f>+(1+G8)*(1+G10)*(1+G12)-1</f>
        <v>0.01333333333333342</v>
      </c>
    </row>
    <row r="14" spans="2:7" ht="12.75">
      <c r="B14" s="8"/>
      <c r="C14" s="55"/>
      <c r="D14" s="55"/>
      <c r="E14" s="55"/>
      <c r="F14" s="55"/>
      <c r="G14" s="55"/>
    </row>
    <row r="15" spans="2:7" ht="12.75">
      <c r="B15" s="56" t="s">
        <v>1405</v>
      </c>
      <c r="C15" s="57">
        <f>(Bilansi!C104*Meni!C49*'P,R, BU'!C13)+(Bilansi!C104*Meni!C49)</f>
        <v>107141.76900000001</v>
      </c>
      <c r="D15" s="57">
        <f>C15*D13+C15</f>
        <v>109284.60438000002</v>
      </c>
      <c r="E15" s="57">
        <f>D15*E13+D15</f>
        <v>110741.73243840002</v>
      </c>
      <c r="F15" s="57">
        <f>E15*F13+E15</f>
        <v>112218.28887091203</v>
      </c>
      <c r="G15" s="57">
        <f>F15*G13+F15</f>
        <v>113714.5327225242</v>
      </c>
    </row>
    <row r="16" spans="2:7" ht="12.75">
      <c r="B16" s="31"/>
      <c r="C16" s="9">
        <f>+(1+C8)*(1+C10)-1</f>
        <v>0.020000000000000018</v>
      </c>
      <c r="D16" s="9">
        <f>+(1+D8)*(1+D10)-1</f>
        <v>0.020000000000000018</v>
      </c>
      <c r="E16" s="9">
        <f>+(1+E8)*(1+E10)-1</f>
        <v>0.01333333333333342</v>
      </c>
      <c r="F16" s="9">
        <f>+(1+F8)*(1+F10)-1</f>
        <v>0.01333333333333342</v>
      </c>
      <c r="G16" s="9">
        <f>+(1+G8)*(1+G10)-1</f>
        <v>0.01333333333333342</v>
      </c>
    </row>
    <row r="17" spans="2:7" ht="13.5" thickBot="1">
      <c r="B17" s="23"/>
      <c r="C17" s="58">
        <f>+(C16*Bilansi!C104*Meni!C49)+(Bilansi!C104*Meni!C49)</f>
        <v>107141.76900000001</v>
      </c>
      <c r="D17" s="58">
        <f>+C17*D16+C17</f>
        <v>109284.60438000002</v>
      </c>
      <c r="E17" s="58">
        <f>+D17*E16+D17</f>
        <v>110741.73243840002</v>
      </c>
      <c r="F17" s="58">
        <f>+E17*F16+E17</f>
        <v>112218.28887091203</v>
      </c>
      <c r="G17" s="58">
        <f>+F17*G16+F17</f>
        <v>113714.5327225242</v>
      </c>
    </row>
    <row r="18" spans="2:7" ht="14.25" thickBot="1" thickTop="1">
      <c r="B18" s="59"/>
      <c r="C18" s="59"/>
      <c r="D18" s="59"/>
      <c r="E18" s="59"/>
      <c r="F18" s="59"/>
      <c r="G18" s="59"/>
    </row>
    <row r="19" ht="13.5" thickTop="1"/>
    <row r="20" spans="2:6" ht="12.75">
      <c r="B20" s="1" t="s">
        <v>1406</v>
      </c>
      <c r="D20" s="60"/>
      <c r="E20" s="61"/>
      <c r="F20" s="11"/>
    </row>
    <row r="21" ht="13.5" thickBot="1"/>
    <row r="22" spans="2:7" ht="13.5" thickTop="1">
      <c r="B22" s="995" t="s">
        <v>1398</v>
      </c>
      <c r="C22" s="994" t="s">
        <v>1399</v>
      </c>
      <c r="D22" s="994"/>
      <c r="E22" s="994"/>
      <c r="F22" s="994"/>
      <c r="G22" s="994"/>
    </row>
    <row r="23" spans="2:7" ht="13.5" thickBot="1">
      <c r="B23" s="996"/>
      <c r="C23" s="52" t="s">
        <v>1400</v>
      </c>
      <c r="D23" s="52" t="s">
        <v>1401</v>
      </c>
      <c r="E23" s="52" t="s">
        <v>1402</v>
      </c>
      <c r="F23" s="52" t="s">
        <v>1403</v>
      </c>
      <c r="G23" s="52" t="s">
        <v>1404</v>
      </c>
    </row>
    <row r="24" spans="3:7" ht="13.5" thickTop="1">
      <c r="C24" s="53"/>
      <c r="D24" s="53"/>
      <c r="E24" s="53"/>
      <c r="F24" s="53"/>
      <c r="G24" s="53"/>
    </row>
    <row r="25" spans="2:7" ht="12.75">
      <c r="B25" s="2" t="s">
        <v>123</v>
      </c>
      <c r="C25" s="62">
        <f>Meni!C12</f>
        <v>0</v>
      </c>
      <c r="D25" s="62">
        <f>Meni!D12</f>
        <v>0</v>
      </c>
      <c r="E25" s="62">
        <f>Meni!E12</f>
        <v>0</v>
      </c>
      <c r="F25" s="62">
        <f>Meni!F12</f>
        <v>0</v>
      </c>
      <c r="G25" s="62">
        <f>Meni!G12</f>
        <v>0</v>
      </c>
    </row>
    <row r="26" spans="2:8" ht="12.75">
      <c r="B26" s="2" t="s">
        <v>125</v>
      </c>
      <c r="C26" s="62">
        <f>Meni!C13</f>
        <v>0</v>
      </c>
      <c r="D26" s="62">
        <f>Meni!D13</f>
        <v>0</v>
      </c>
      <c r="E26" s="62">
        <f>Meni!E13</f>
        <v>0</v>
      </c>
      <c r="F26" s="62">
        <f>Meni!F13</f>
        <v>0</v>
      </c>
      <c r="G26" s="62">
        <f>Meni!G13</f>
        <v>0</v>
      </c>
      <c r="H26" s="62"/>
    </row>
    <row r="27" spans="3:7" ht="12.75">
      <c r="C27" s="62"/>
      <c r="D27" s="62"/>
      <c r="E27" s="62"/>
      <c r="F27" s="62"/>
      <c r="G27" s="62"/>
    </row>
    <row r="28" spans="2:7" ht="12.75">
      <c r="B28" s="8" t="s">
        <v>124</v>
      </c>
      <c r="C28" s="63">
        <f>((1+(C25/1))*((1+(C26/1))*((1+(C27/1)))))-100%</f>
        <v>0</v>
      </c>
      <c r="D28" s="63">
        <f>((1+(D25/1))*((1+(D26/1))*((1+(D27/1)))))-100%</f>
        <v>0</v>
      </c>
      <c r="E28" s="63">
        <f>((1+(E25/1))*((1+(E26/1))*((1+(E27/1)))))-100%</f>
        <v>0</v>
      </c>
      <c r="F28" s="63">
        <f>((1+(F25/1))*((1+(F26/1))*((1+(F27/1)))))-100%</f>
        <v>0</v>
      </c>
      <c r="G28" s="63">
        <f>((1+(G25/1))*((1+(G26/1))*((1+(G27/1)))))-100%</f>
        <v>0</v>
      </c>
    </row>
    <row r="29" spans="2:7" ht="12.75">
      <c r="B29" s="8"/>
      <c r="C29" s="63"/>
      <c r="D29" s="63"/>
      <c r="E29" s="63"/>
      <c r="F29" s="63"/>
      <c r="G29" s="63"/>
    </row>
    <row r="30" spans="2:7" ht="12.75">
      <c r="B30" s="56" t="s">
        <v>1405</v>
      </c>
      <c r="C30" s="64">
        <f>(Bilansi!C105*Meni!C49*'P,R, BU'!C28)+(Bilansi!C105*Meni!C49)</f>
        <v>0</v>
      </c>
      <c r="D30" s="64">
        <f>C30*D28+C30</f>
        <v>0</v>
      </c>
      <c r="E30" s="64">
        <f>D30*E28+D30</f>
        <v>0</v>
      </c>
      <c r="F30" s="64">
        <f>E30*F28+E30</f>
        <v>0</v>
      </c>
      <c r="G30" s="64">
        <f>F30*G28+F30</f>
        <v>0</v>
      </c>
    </row>
    <row r="31" spans="2:7" ht="12.75">
      <c r="B31" s="31"/>
      <c r="C31" s="63">
        <f>((1+(C25/1))*((1+(C27/1))))-100%</f>
        <v>0</v>
      </c>
      <c r="D31" s="63">
        <f>((1+(D25/1))*((1+(D27/1))))-100%</f>
        <v>0</v>
      </c>
      <c r="E31" s="63">
        <f>((1+(E25/1))*((1+(E27/1))))-100%</f>
        <v>0</v>
      </c>
      <c r="F31" s="63">
        <f>((1+(F25/1))*((1+(F27/1))))-100%</f>
        <v>0</v>
      </c>
      <c r="G31" s="63">
        <f>((1+(G25/1))*((1+(G27/1))))-100%</f>
        <v>0</v>
      </c>
    </row>
    <row r="32" spans="2:7" ht="12.75">
      <c r="B32" s="31"/>
      <c r="C32" s="65">
        <f>+(Bilansi!C105*C31*Meni!C49)+(Bilansi!C105*Meni!C49)</f>
        <v>0</v>
      </c>
      <c r="D32" s="65">
        <f>+C32*D31+C32</f>
        <v>0</v>
      </c>
      <c r="E32" s="65">
        <f>+D32*E31+D32</f>
        <v>0</v>
      </c>
      <c r="F32" s="65">
        <f>+E32*F31+E32</f>
        <v>0</v>
      </c>
      <c r="G32" s="65">
        <f>+F32*G31+F32</f>
        <v>0</v>
      </c>
    </row>
    <row r="33" spans="2:7" ht="13.5" thickBot="1">
      <c r="B33" s="23"/>
      <c r="C33" s="23"/>
      <c r="D33" s="23"/>
      <c r="E33" s="23"/>
      <c r="F33" s="23"/>
      <c r="G33" s="23"/>
    </row>
    <row r="34" ht="13.5" thickTop="1"/>
    <row r="36" ht="12.75">
      <c r="B36" s="1" t="s">
        <v>1409</v>
      </c>
    </row>
    <row r="37" ht="13.5" thickBot="1"/>
    <row r="38" spans="2:8" ht="13.5" thickTop="1">
      <c r="B38" s="995" t="s">
        <v>1398</v>
      </c>
      <c r="C38" s="997" t="s">
        <v>1399</v>
      </c>
      <c r="D38" s="997"/>
      <c r="E38" s="997"/>
      <c r="F38" s="997"/>
      <c r="G38" s="997"/>
      <c r="H38" s="997"/>
    </row>
    <row r="39" spans="2:8" ht="13.5" thickBot="1">
      <c r="B39" s="996"/>
      <c r="C39" s="52">
        <v>2002</v>
      </c>
      <c r="D39" s="52">
        <f>+C39-1</f>
        <v>2001</v>
      </c>
      <c r="E39" s="52">
        <f>+D39-1</f>
        <v>2000</v>
      </c>
      <c r="F39" s="52">
        <f>+E39-1</f>
        <v>1999</v>
      </c>
      <c r="G39" s="52">
        <f>+F39-1</f>
        <v>1998</v>
      </c>
      <c r="H39" s="52" t="s">
        <v>1410</v>
      </c>
    </row>
    <row r="40" spans="3:8" ht="13.5" thickTop="1">
      <c r="C40" s="53"/>
      <c r="D40" s="53"/>
      <c r="E40" s="53"/>
      <c r="F40" s="53"/>
      <c r="G40" s="53"/>
      <c r="H40" s="53"/>
    </row>
    <row r="41" spans="2:8" ht="12.75">
      <c r="B41" s="66" t="s">
        <v>126</v>
      </c>
      <c r="C41" s="67">
        <f>(Bilansi!C106)/Bilansi!C103</f>
        <v>0.005091943391910572</v>
      </c>
      <c r="D41" s="67">
        <f>(Bilansi!D106)/Bilansi!D103</f>
        <v>0.005091943391910572</v>
      </c>
      <c r="E41" s="67">
        <f>(Bilansi!E106)/Bilansi!E103</f>
        <v>0.012689943162046167</v>
      </c>
      <c r="F41" s="67">
        <f>(Bilansi!F106)/Bilansi!F103</f>
        <v>0.012689943162046167</v>
      </c>
      <c r="G41" s="67">
        <v>0</v>
      </c>
      <c r="H41" s="67">
        <f>+AVERAGE(C41:G41)</f>
        <v>0.007112754621582696</v>
      </c>
    </row>
    <row r="42" spans="2:8" ht="12.75">
      <c r="B42" s="20"/>
      <c r="C42" s="68">
        <f aca="true" t="shared" si="0" ref="C42:H42">+(C32+C17)/(100%-$H$41)</f>
        <v>107909.30138211742</v>
      </c>
      <c r="D42" s="68">
        <f t="shared" si="0"/>
        <v>110067.48740975978</v>
      </c>
      <c r="E42" s="68">
        <f t="shared" si="0"/>
        <v>111535.05390855658</v>
      </c>
      <c r="F42" s="68">
        <f t="shared" si="0"/>
        <v>113022.18796067068</v>
      </c>
      <c r="G42" s="68">
        <f t="shared" si="0"/>
        <v>114529.15046681296</v>
      </c>
      <c r="H42" s="68">
        <f t="shared" si="0"/>
        <v>0</v>
      </c>
    </row>
    <row r="43" spans="2:8" ht="13.5" thickBot="1">
      <c r="B43" s="23"/>
      <c r="C43" s="69"/>
      <c r="D43" s="69"/>
      <c r="E43" s="69"/>
      <c r="F43" s="69"/>
      <c r="G43" s="69"/>
      <c r="H43" s="70"/>
    </row>
    <row r="44" ht="13.5" thickTop="1"/>
    <row r="45" ht="12.75">
      <c r="B45" s="1" t="s">
        <v>1407</v>
      </c>
    </row>
    <row r="46" ht="13.5" thickBot="1"/>
    <row r="47" spans="2:7" ht="13.5" thickTop="1">
      <c r="B47" s="995" t="s">
        <v>1398</v>
      </c>
      <c r="C47" s="994" t="s">
        <v>1399</v>
      </c>
      <c r="D47" s="994"/>
      <c r="E47" s="994"/>
      <c r="F47" s="994"/>
      <c r="G47" s="994"/>
    </row>
    <row r="48" spans="2:7" ht="13.5" thickBot="1">
      <c r="B48" s="996"/>
      <c r="C48" s="52" t="s">
        <v>1400</v>
      </c>
      <c r="D48" s="52" t="s">
        <v>1401</v>
      </c>
      <c r="E48" s="52" t="s">
        <v>1402</v>
      </c>
      <c r="F48" s="52" t="s">
        <v>1403</v>
      </c>
      <c r="G48" s="52" t="s">
        <v>1404</v>
      </c>
    </row>
    <row r="49" spans="3:7" ht="13.5" thickTop="1">
      <c r="C49" s="53"/>
      <c r="D49" s="53"/>
      <c r="E49" s="53"/>
      <c r="F49" s="53"/>
      <c r="G49" s="53"/>
    </row>
    <row r="50" spans="2:8" ht="12.75">
      <c r="B50" s="2" t="s">
        <v>127</v>
      </c>
      <c r="C50" s="71">
        <f>C15</f>
        <v>107141.76900000001</v>
      </c>
      <c r="D50" s="71">
        <f>D15</f>
        <v>109284.60438000002</v>
      </c>
      <c r="E50" s="71">
        <f>E15</f>
        <v>110741.73243840002</v>
      </c>
      <c r="F50" s="71">
        <f>F15</f>
        <v>112218.28887091203</v>
      </c>
      <c r="G50" s="71">
        <f>G15</f>
        <v>113714.5327225242</v>
      </c>
      <c r="H50" s="12"/>
    </row>
    <row r="51" spans="2:7" ht="12.75">
      <c r="B51" s="2" t="s">
        <v>128</v>
      </c>
      <c r="C51" s="71">
        <f>C30</f>
        <v>0</v>
      </c>
      <c r="D51" s="71">
        <f>D30</f>
        <v>0</v>
      </c>
      <c r="E51" s="71">
        <f>E30</f>
        <v>0</v>
      </c>
      <c r="F51" s="71">
        <f>F30</f>
        <v>0</v>
      </c>
      <c r="G51" s="71">
        <f>G30</f>
        <v>0</v>
      </c>
    </row>
    <row r="52" spans="2:7" ht="12.75">
      <c r="B52" s="2" t="s">
        <v>1357</v>
      </c>
      <c r="C52" s="71">
        <f>C54-C51-C50</f>
        <v>767.5323821174097</v>
      </c>
      <c r="D52" s="71">
        <f>D54-D51-D50</f>
        <v>782.8830297597597</v>
      </c>
      <c r="E52" s="71">
        <f>E54-E51-E50</f>
        <v>793.3214701565594</v>
      </c>
      <c r="F52" s="71">
        <f>F54-F51-F50</f>
        <v>803.8990897586482</v>
      </c>
      <c r="G52" s="71">
        <f>G54-G51-G50</f>
        <v>814.6177442887565</v>
      </c>
    </row>
    <row r="53" spans="3:7" ht="12.75">
      <c r="C53" s="71"/>
      <c r="D53" s="71"/>
      <c r="E53" s="71"/>
      <c r="F53" s="71"/>
      <c r="G53" s="71"/>
    </row>
    <row r="54" spans="2:7" ht="12.75">
      <c r="B54" s="56" t="s">
        <v>1408</v>
      </c>
      <c r="C54" s="72">
        <f>(C50+C51)/(100%-$H$41)</f>
        <v>107909.30138211742</v>
      </c>
      <c r="D54" s="72">
        <f>(D50+D51)/(100%-$H$41)</f>
        <v>110067.48740975978</v>
      </c>
      <c r="E54" s="72">
        <f>(E50+E51)/(100%-$H$41)</f>
        <v>111535.05390855658</v>
      </c>
      <c r="F54" s="72">
        <f>(F50+F51)/(100%-$H$41)</f>
        <v>113022.18796067068</v>
      </c>
      <c r="G54" s="72">
        <f>(G50+G51)/(100%-$H$41)</f>
        <v>114529.15046681296</v>
      </c>
    </row>
    <row r="55" spans="2:7" ht="12.75">
      <c r="B55" s="31"/>
      <c r="C55" s="73">
        <f>+C42</f>
        <v>107909.30138211742</v>
      </c>
      <c r="D55" s="73">
        <f>+D42</f>
        <v>110067.48740975978</v>
      </c>
      <c r="E55" s="73">
        <f>+E42</f>
        <v>111535.05390855658</v>
      </c>
      <c r="F55" s="73">
        <f>+F42</f>
        <v>113022.18796067068</v>
      </c>
      <c r="G55" s="73">
        <f>+G42</f>
        <v>114529.15046681296</v>
      </c>
    </row>
    <row r="56" spans="2:7" ht="13.5" thickBot="1">
      <c r="B56" s="23"/>
      <c r="C56" s="23"/>
      <c r="D56" s="23"/>
      <c r="E56" s="23"/>
      <c r="F56" s="23"/>
      <c r="G56" s="23"/>
    </row>
    <row r="57" ht="13.5" thickTop="1"/>
    <row r="59" ht="12.75">
      <c r="B59" s="1" t="s">
        <v>129</v>
      </c>
    </row>
    <row r="60" spans="4:5" ht="13.5" thickBot="1">
      <c r="D60" s="11"/>
      <c r="E60" s="60"/>
    </row>
    <row r="61" spans="2:7" ht="13.5" thickTop="1">
      <c r="B61" s="995" t="s">
        <v>1398</v>
      </c>
      <c r="C61" s="994" t="s">
        <v>1399</v>
      </c>
      <c r="D61" s="994"/>
      <c r="E61" s="994"/>
      <c r="F61" s="994"/>
      <c r="G61" s="994"/>
    </row>
    <row r="62" spans="2:7" ht="13.5" thickBot="1">
      <c r="B62" s="996"/>
      <c r="C62" s="52" t="s">
        <v>1400</v>
      </c>
      <c r="D62" s="52" t="s">
        <v>1401</v>
      </c>
      <c r="E62" s="52" t="s">
        <v>1402</v>
      </c>
      <c r="F62" s="52" t="s">
        <v>1403</v>
      </c>
      <c r="G62" s="52" t="s">
        <v>1404</v>
      </c>
    </row>
    <row r="63" spans="3:7" ht="13.5" thickTop="1">
      <c r="C63" s="53"/>
      <c r="D63" s="53"/>
      <c r="E63" s="53"/>
      <c r="F63" s="53"/>
      <c r="G63" s="53"/>
    </row>
    <row r="64" spans="2:7" ht="12.75">
      <c r="B64" s="2" t="s">
        <v>130</v>
      </c>
      <c r="C64" s="74">
        <f>+'Radna '!$H$3*'P,R, BU'!C55</f>
        <v>20717.12419448826</v>
      </c>
      <c r="D64" s="74">
        <f>+'Radna '!$H$3*'P,R, BU'!D55</f>
        <v>21131.466678378027</v>
      </c>
      <c r="E64" s="74">
        <f>+'Radna '!$H$3*'P,R, BU'!E55</f>
        <v>21413.219567423068</v>
      </c>
      <c r="F64" s="74">
        <f>+'Radna '!$H$3*'P,R, BU'!F55</f>
        <v>21698.729161655378</v>
      </c>
      <c r="G64" s="74">
        <f>+'Radna '!$H$3*'P,R, BU'!G55</f>
        <v>21988.04555047745</v>
      </c>
    </row>
    <row r="65" spans="2:7" ht="12.75">
      <c r="B65" s="2" t="s">
        <v>131</v>
      </c>
      <c r="C65" s="74">
        <f>+'Radna '!C13</f>
        <v>2029.2949950000004</v>
      </c>
      <c r="D65" s="74">
        <f>+C65</f>
        <v>2029.2949950000004</v>
      </c>
      <c r="E65" s="74">
        <f>+D65</f>
        <v>2029.2949950000004</v>
      </c>
      <c r="F65" s="74">
        <f>+E65</f>
        <v>2029.2949950000004</v>
      </c>
      <c r="G65" s="74">
        <f>+F65</f>
        <v>2029.2949950000004</v>
      </c>
    </row>
    <row r="66" spans="2:7" ht="12.75">
      <c r="B66" s="8" t="s">
        <v>845</v>
      </c>
      <c r="C66" s="302">
        <f>+-1*Meni!C24</f>
        <v>-1</v>
      </c>
      <c r="D66" s="302">
        <f>+-1*Meni!D24</f>
        <v>-0.9</v>
      </c>
      <c r="E66" s="302">
        <f>+-1*Meni!E24</f>
        <v>-0.8</v>
      </c>
      <c r="F66" s="302">
        <f>+-1*Meni!F24</f>
        <v>-0.7</v>
      </c>
      <c r="G66" s="302">
        <f>+-1*Meni!G24</f>
        <v>-0.6</v>
      </c>
    </row>
    <row r="67" spans="3:7" ht="12.75">
      <c r="C67" s="76"/>
      <c r="D67" s="76"/>
      <c r="E67" s="76"/>
      <c r="F67" s="76"/>
      <c r="G67" s="76"/>
    </row>
    <row r="68" spans="2:7" ht="12.75">
      <c r="B68" s="8" t="s">
        <v>132</v>
      </c>
      <c r="C68" s="75">
        <f>C64+C65+C66</f>
        <v>22745.41918948826</v>
      </c>
      <c r="D68" s="75">
        <f>D64+D65+D66</f>
        <v>23159.861673378025</v>
      </c>
      <c r="E68" s="75">
        <f>E64+E65+E66</f>
        <v>23441.71456242307</v>
      </c>
      <c r="F68" s="75">
        <f>F64+F65+F66</f>
        <v>23727.324156655377</v>
      </c>
      <c r="G68" s="75">
        <f>G64+G65+G66</f>
        <v>24016.740545477453</v>
      </c>
    </row>
    <row r="69" spans="2:7" ht="13.5" hidden="1" thickBot="1">
      <c r="B69" s="23"/>
      <c r="C69" s="75">
        <f>SUM(C65:C67)</f>
        <v>2028.2949950000004</v>
      </c>
      <c r="D69" s="75">
        <f>SUM(D65:D67)</f>
        <v>2028.3949950000003</v>
      </c>
      <c r="E69" s="75">
        <f>SUM(E65:E67)</f>
        <v>2028.4949950000005</v>
      </c>
      <c r="F69" s="75">
        <f>SUM(F65:F67)</f>
        <v>2028.5949950000004</v>
      </c>
      <c r="G69" s="75">
        <f>SUM(G65:G67)</f>
        <v>2028.6949950000005</v>
      </c>
    </row>
    <row r="70" spans="2:7" ht="13.5" thickBot="1">
      <c r="B70" s="58"/>
      <c r="C70" s="58"/>
      <c r="D70" s="58"/>
      <c r="E70" s="58"/>
      <c r="F70" s="58"/>
      <c r="G70" s="58"/>
    </row>
    <row r="71" ht="13.5" thickTop="1"/>
    <row r="72" spans="2:6" ht="12.75">
      <c r="B72" s="1" t="s">
        <v>133</v>
      </c>
      <c r="D72" s="11"/>
      <c r="F72" s="11"/>
    </row>
    <row r="73" spans="4:5" ht="13.5" thickBot="1">
      <c r="D73" s="11"/>
      <c r="E73" s="60"/>
    </row>
    <row r="74" spans="2:7" ht="13.5" thickTop="1">
      <c r="B74" s="995" t="s">
        <v>1398</v>
      </c>
      <c r="C74" s="994" t="s">
        <v>1399</v>
      </c>
      <c r="D74" s="994"/>
      <c r="E74" s="994"/>
      <c r="F74" s="994"/>
      <c r="G74" s="994"/>
    </row>
    <row r="75" spans="2:7" ht="13.5" thickBot="1">
      <c r="B75" s="996"/>
      <c r="C75" s="52" t="s">
        <v>1400</v>
      </c>
      <c r="D75" s="52" t="s">
        <v>1401</v>
      </c>
      <c r="E75" s="52" t="s">
        <v>1402</v>
      </c>
      <c r="F75" s="52" t="s">
        <v>1403</v>
      </c>
      <c r="G75" s="52" t="s">
        <v>1404</v>
      </c>
    </row>
    <row r="76" spans="3:7" ht="13.5" thickTop="1">
      <c r="C76" s="53"/>
      <c r="D76" s="53"/>
      <c r="E76" s="53"/>
      <c r="F76" s="53"/>
      <c r="G76" s="53"/>
    </row>
    <row r="77" spans="2:7" ht="12.75">
      <c r="B77" s="2" t="s">
        <v>135</v>
      </c>
      <c r="C77" s="12">
        <f>+'Radna '!$H$7*'P,R, BU'!C55</f>
        <v>8290.716344590062</v>
      </c>
      <c r="D77" s="12">
        <f>+'Radna '!$H$7*'P,R, BU'!D55</f>
        <v>8456.530671481863</v>
      </c>
      <c r="E77" s="12">
        <f>+'Radna '!$H$7*'P,R, BU'!E55</f>
        <v>8569.28441376829</v>
      </c>
      <c r="F77" s="12">
        <f>+'Radna '!$H$7*'P,R, BU'!F55</f>
        <v>8683.541539285201</v>
      </c>
      <c r="G77" s="12">
        <f>+'Radna '!$H$7*'P,R, BU'!G55</f>
        <v>8799.322093142338</v>
      </c>
    </row>
    <row r="78" spans="2:7" ht="12.75">
      <c r="B78" s="2" t="s">
        <v>134</v>
      </c>
      <c r="C78" s="12">
        <f>+'Radna '!C17</f>
        <v>776.4001875</v>
      </c>
      <c r="D78" s="12">
        <f>+C78</f>
        <v>776.4001875</v>
      </c>
      <c r="E78" s="12">
        <f>+D78</f>
        <v>776.4001875</v>
      </c>
      <c r="F78" s="12">
        <f>+E78</f>
        <v>776.4001875</v>
      </c>
      <c r="G78" s="12">
        <f>+F78</f>
        <v>776.4001875</v>
      </c>
    </row>
    <row r="79" spans="2:7" ht="12.75">
      <c r="B79" s="2" t="s">
        <v>1411</v>
      </c>
      <c r="C79" s="12">
        <f>C78+C77</f>
        <v>9067.116532090062</v>
      </c>
      <c r="D79" s="12">
        <f>D78+D77</f>
        <v>9232.930858981863</v>
      </c>
      <c r="E79" s="12">
        <f>E78+E77</f>
        <v>9345.684601268289</v>
      </c>
      <c r="F79" s="12">
        <f>F78+F77</f>
        <v>9459.9417267852</v>
      </c>
      <c r="G79" s="12">
        <f>G78+G77</f>
        <v>9575.722280642338</v>
      </c>
    </row>
    <row r="80" spans="2:7" ht="12.75">
      <c r="B80" s="2" t="s">
        <v>93</v>
      </c>
      <c r="C80" s="77">
        <f>+'Radna '!C25</f>
        <v>0.02</v>
      </c>
      <c r="D80" s="77">
        <f>+'Radna '!D25</f>
        <v>0.02</v>
      </c>
      <c r="E80" s="77">
        <f>+'Radna '!E25</f>
        <v>0.013333333333333332</v>
      </c>
      <c r="F80" s="77">
        <f>+'Radna '!F25</f>
        <v>0.013333333333333332</v>
      </c>
      <c r="G80" s="77">
        <f>+'Radna '!G25</f>
        <v>0.013333333333333332</v>
      </c>
    </row>
    <row r="81" spans="2:7" ht="12.75">
      <c r="B81" s="8" t="s">
        <v>1412</v>
      </c>
      <c r="C81" s="78">
        <f>+(1+C80*1)</f>
        <v>1.02</v>
      </c>
      <c r="D81" s="78">
        <f>+(1+C80*1)+((1+C80*1)*D80)</f>
        <v>1.0404</v>
      </c>
      <c r="E81" s="78">
        <f>+(1+C80*1)+((1+C80*1)*D80)+((1+C80*1)*E80)</f>
        <v>1.054</v>
      </c>
      <c r="F81" s="78">
        <f>+(1+C80*1)+((1+C80*1)*D80)+((1+C80*1)*E80)+((1+C80*1)*F80)</f>
        <v>1.0676</v>
      </c>
      <c r="G81" s="78">
        <f>+(1+C80*1)+((1+C80*1)*D80)+((1+C80*1)*E80)+((1+C80*1)*F80)+((1+C80*1)*G80)</f>
        <v>1.0812000000000002</v>
      </c>
    </row>
    <row r="83" spans="2:7" ht="12.75">
      <c r="B83" s="56" t="s">
        <v>1413</v>
      </c>
      <c r="C83" s="72">
        <f>C79*C81</f>
        <v>9248.458862731863</v>
      </c>
      <c r="D83" s="72">
        <f>D79*D81</f>
        <v>9605.94126568473</v>
      </c>
      <c r="E83" s="72">
        <f>E79*E81</f>
        <v>9850.351569736777</v>
      </c>
      <c r="F83" s="72">
        <f>F79*F81</f>
        <v>10099.433787515882</v>
      </c>
      <c r="G83" s="72">
        <f>G79*G81</f>
        <v>10353.270929830498</v>
      </c>
    </row>
    <row r="84" spans="2:7" ht="13.5" thickBot="1">
      <c r="B84" s="23"/>
      <c r="C84" s="79"/>
      <c r="D84" s="79"/>
      <c r="E84" s="79"/>
      <c r="F84" s="79"/>
      <c r="G84" s="79"/>
    </row>
    <row r="85" ht="13.5" thickTop="1"/>
    <row r="86" spans="2:6" ht="12.75">
      <c r="B86" s="1" t="s">
        <v>107</v>
      </c>
      <c r="D86" s="80"/>
      <c r="E86" s="81"/>
      <c r="F86" s="82"/>
    </row>
    <row r="87" spans="4:5" ht="13.5" thickBot="1">
      <c r="D87" s="11"/>
      <c r="E87" s="60"/>
    </row>
    <row r="88" spans="2:7" ht="13.5" thickTop="1">
      <c r="B88" s="995" t="s">
        <v>1398</v>
      </c>
      <c r="C88" s="994" t="s">
        <v>1399</v>
      </c>
      <c r="D88" s="994"/>
      <c r="E88" s="994"/>
      <c r="F88" s="994"/>
      <c r="G88" s="994"/>
    </row>
    <row r="89" spans="2:7" ht="13.5" thickBot="1">
      <c r="B89" s="996"/>
      <c r="C89" s="52" t="s">
        <v>1400</v>
      </c>
      <c r="D89" s="52" t="s">
        <v>1401</v>
      </c>
      <c r="E89" s="52" t="s">
        <v>1402</v>
      </c>
      <c r="F89" s="52" t="s">
        <v>1403</v>
      </c>
      <c r="G89" s="52" t="s">
        <v>1404</v>
      </c>
    </row>
    <row r="90" spans="3:7" ht="13.5" thickTop="1">
      <c r="C90" s="53"/>
      <c r="D90" s="53"/>
      <c r="E90" s="53"/>
      <c r="F90" s="53"/>
      <c r="G90" s="53"/>
    </row>
    <row r="91" spans="2:7" ht="12.75">
      <c r="B91" s="2" t="s">
        <v>110</v>
      </c>
      <c r="C91" s="11">
        <f>+'Radna '!D38</f>
        <v>0.02</v>
      </c>
      <c r="D91" s="11">
        <f>+'Radna '!E38</f>
        <v>0.02</v>
      </c>
      <c r="E91" s="11">
        <f>+'Radna '!F38</f>
        <v>0.013333333333333332</v>
      </c>
      <c r="F91" s="11">
        <f>+'Radna '!G38</f>
        <v>0.013333333333333332</v>
      </c>
      <c r="G91" s="11">
        <f>+'Radna '!H38</f>
        <v>0.013333333333333332</v>
      </c>
    </row>
    <row r="92" spans="2:7" ht="12.75">
      <c r="B92" s="2" t="s">
        <v>111</v>
      </c>
      <c r="C92" s="83">
        <f>(+'Radna '!D39)/1000</f>
        <v>10.892272727272726</v>
      </c>
      <c r="D92" s="83">
        <f>(+'Radna '!E39)/1000</f>
        <v>11.110118181818182</v>
      </c>
      <c r="E92" s="83">
        <f>(+'Radna '!F39)/1000</f>
        <v>11.258253090909092</v>
      </c>
      <c r="F92" s="83">
        <f>(+'Radna '!G39)/1000</f>
        <v>11.408363132121213</v>
      </c>
      <c r="G92" s="83">
        <f>(+'Radna '!H39)/1000</f>
        <v>11.560474640549495</v>
      </c>
    </row>
    <row r="93" spans="2:7" ht="12.75">
      <c r="B93" s="2" t="s">
        <v>113</v>
      </c>
      <c r="C93" s="12">
        <f>+'Radna '!D40</f>
        <v>187</v>
      </c>
      <c r="D93" s="12">
        <f>+'Radna '!E40</f>
        <v>183.26</v>
      </c>
      <c r="E93" s="12">
        <f>+'Radna '!F40</f>
        <v>179.5948</v>
      </c>
      <c r="F93" s="12">
        <f>+'Radna '!G40</f>
        <v>176.002904</v>
      </c>
      <c r="G93" s="12">
        <f>+'Radna '!H40</f>
        <v>172.48284592000002</v>
      </c>
    </row>
    <row r="94" spans="2:7" ht="12.75">
      <c r="B94" s="2" t="s">
        <v>114</v>
      </c>
      <c r="C94" s="82">
        <f>+'Radna '!D41</f>
        <v>5.609999999999999</v>
      </c>
      <c r="D94" s="82">
        <f>+'Radna '!E41</f>
        <v>5.4978</v>
      </c>
      <c r="E94" s="82">
        <f>+'Radna '!F41</f>
        <v>5.387843999999999</v>
      </c>
      <c r="F94" s="82">
        <f>+'Radna '!G41</f>
        <v>5.28008712</v>
      </c>
      <c r="G94" s="82">
        <f>+'Radna '!H41</f>
        <v>5.1744853776</v>
      </c>
    </row>
    <row r="95" spans="2:7" ht="12.75">
      <c r="B95" s="2" t="s">
        <v>136</v>
      </c>
      <c r="C95" s="82">
        <f>+'Radna '!D42</f>
        <v>0</v>
      </c>
      <c r="D95" s="82">
        <f>+'Radna '!E42</f>
        <v>0</v>
      </c>
      <c r="E95" s="82">
        <f>+'Radna '!F42</f>
        <v>0</v>
      </c>
      <c r="F95" s="82">
        <f>+'Radna '!G42</f>
        <v>0</v>
      </c>
      <c r="G95" s="82">
        <f>+'Radna '!H42</f>
        <v>0</v>
      </c>
    </row>
    <row r="96" spans="2:7" ht="12.75">
      <c r="B96" s="2" t="s">
        <v>116</v>
      </c>
      <c r="C96" s="82">
        <f>+'Radna '!D43</f>
        <v>1.87</v>
      </c>
      <c r="D96" s="82">
        <f>+'Radna '!E43</f>
        <v>1.8326</v>
      </c>
      <c r="E96" s="82">
        <f>+'Radna '!F43</f>
        <v>1.7959479999999999</v>
      </c>
      <c r="F96" s="82">
        <f>+'Radna '!G43</f>
        <v>1.76002904</v>
      </c>
      <c r="G96" s="82">
        <f>+'Radna '!H43</f>
        <v>1.7248284592000003</v>
      </c>
    </row>
    <row r="97" spans="2:7" ht="12.75">
      <c r="B97" s="2" t="s">
        <v>117</v>
      </c>
      <c r="C97" s="82">
        <f>+'Radna '!D44</f>
        <v>183.26</v>
      </c>
      <c r="D97" s="82">
        <f>+'Radna '!E44</f>
        <v>179.5948</v>
      </c>
      <c r="E97" s="82">
        <f>+'Radna '!F44</f>
        <v>176.002904</v>
      </c>
      <c r="F97" s="82">
        <f>+'Radna '!G44</f>
        <v>172.48284592000002</v>
      </c>
      <c r="G97" s="82">
        <f>+'Radna '!H44</f>
        <v>169.03318900160002</v>
      </c>
    </row>
    <row r="98" spans="3:7" ht="12.75">
      <c r="C98" s="82"/>
      <c r="D98" s="82"/>
      <c r="E98" s="82"/>
      <c r="F98" s="82"/>
      <c r="G98" s="82"/>
    </row>
    <row r="99" spans="2:7" ht="12.75">
      <c r="B99" s="56" t="s">
        <v>137</v>
      </c>
      <c r="C99" s="72">
        <f>+'Radna '!D47*'P,R, BU'!C92*12</f>
        <v>24197.837399999997</v>
      </c>
      <c r="D99" s="72">
        <f>+'Radna '!E47*'P,R, BU'!D92*12</f>
        <v>24188.158265039998</v>
      </c>
      <c r="E99" s="72">
        <f>+'Radna '!F47*'P,R, BU'!E92*12</f>
        <v>24020.45370106906</v>
      </c>
      <c r="F99" s="72">
        <f>+'Radna '!G47*'P,R, BU'!F92*12</f>
        <v>23853.911888741648</v>
      </c>
      <c r="G99" s="72">
        <f>+'Radna '!H47*'P,R, BU'!G92*12</f>
        <v>23688.52476631304</v>
      </c>
    </row>
    <row r="100" spans="2:7" ht="13.5" thickBot="1">
      <c r="B100" s="23"/>
      <c r="C100" s="79"/>
      <c r="D100" s="79"/>
      <c r="E100" s="79"/>
      <c r="F100" s="79"/>
      <c r="G100" s="79"/>
    </row>
    <row r="101" spans="2:7" ht="13.5" thickTop="1">
      <c r="B101" s="20"/>
      <c r="C101" s="73"/>
      <c r="D101" s="73"/>
      <c r="E101" s="73"/>
      <c r="F101" s="73"/>
      <c r="G101" s="73"/>
    </row>
    <row r="102" spans="3:7" ht="12.75">
      <c r="C102" s="71"/>
      <c r="D102" s="71"/>
      <c r="E102" s="71"/>
      <c r="F102" s="71"/>
      <c r="G102" s="71"/>
    </row>
    <row r="103" spans="3:7" ht="12.75" hidden="1">
      <c r="C103" s="84"/>
      <c r="D103" s="84"/>
      <c r="E103" s="84"/>
      <c r="F103" s="84"/>
      <c r="G103" s="84"/>
    </row>
    <row r="104" spans="3:7" ht="12.75" hidden="1">
      <c r="C104" s="85"/>
      <c r="D104" s="85"/>
      <c r="E104" s="85"/>
      <c r="F104" s="85"/>
      <c r="G104" s="85"/>
    </row>
    <row r="105" spans="3:7" ht="12.75" hidden="1">
      <c r="C105" s="86"/>
      <c r="D105" s="86"/>
      <c r="E105" s="86"/>
      <c r="F105" s="86"/>
      <c r="G105" s="86"/>
    </row>
    <row r="106" spans="2:8" ht="12.75">
      <c r="B106" s="1" t="s">
        <v>138</v>
      </c>
      <c r="C106" s="87"/>
      <c r="D106" s="80"/>
      <c r="E106" s="88"/>
      <c r="F106" s="82"/>
      <c r="G106" s="13"/>
      <c r="H106" s="89"/>
    </row>
    <row r="107" spans="4:9" ht="13.5" thickBot="1">
      <c r="D107" s="11"/>
      <c r="F107" s="3"/>
      <c r="H107" s="90">
        <f>+'Radna '!D54</f>
        <v>0.01</v>
      </c>
      <c r="I107" s="91" t="s">
        <v>139</v>
      </c>
    </row>
    <row r="108" spans="2:7" ht="13.5" thickTop="1">
      <c r="B108" s="995" t="s">
        <v>1398</v>
      </c>
      <c r="C108" s="994" t="s">
        <v>1399</v>
      </c>
      <c r="D108" s="994"/>
      <c r="E108" s="994"/>
      <c r="F108" s="994"/>
      <c r="G108" s="994"/>
    </row>
    <row r="109" spans="2:7" ht="13.5" thickBot="1">
      <c r="B109" s="996"/>
      <c r="C109" s="52" t="s">
        <v>1400</v>
      </c>
      <c r="D109" s="52" t="s">
        <v>1401</v>
      </c>
      <c r="E109" s="52" t="s">
        <v>1402</v>
      </c>
      <c r="F109" s="52" t="s">
        <v>1403</v>
      </c>
      <c r="G109" s="52" t="s">
        <v>1404</v>
      </c>
    </row>
    <row r="110" spans="3:7" ht="13.5" thickTop="1">
      <c r="C110" s="53"/>
      <c r="D110" s="53"/>
      <c r="E110" s="53"/>
      <c r="F110" s="53"/>
      <c r="G110" s="53"/>
    </row>
    <row r="111" spans="2:7" ht="12.75" hidden="1">
      <c r="B111" s="2" t="s">
        <v>336</v>
      </c>
      <c r="C111" s="30">
        <f>+$H$107*C42</f>
        <v>1079.0930138211743</v>
      </c>
      <c r="D111" s="30">
        <f>+$H$107*D42</f>
        <v>1100.674874097598</v>
      </c>
      <c r="E111" s="30">
        <f>+$H$107*E42</f>
        <v>1115.350539085566</v>
      </c>
      <c r="F111" s="30">
        <f>+$H$107*F42</f>
        <v>1130.2218796067068</v>
      </c>
      <c r="G111" s="30">
        <f>+$H$107*G42</f>
        <v>1145.2915046681296</v>
      </c>
    </row>
    <row r="112" spans="2:7" ht="13.5" thickBot="1">
      <c r="B112" s="23" t="s">
        <v>140</v>
      </c>
      <c r="C112" s="70">
        <f>+'Radna '!C73</f>
        <v>21158.548228744527</v>
      </c>
      <c r="D112" s="70">
        <f>+'Radna '!D73</f>
        <v>21372.44369331942</v>
      </c>
      <c r="E112" s="70">
        <f>+'Radna '!E73</f>
        <v>21517.892609230345</v>
      </c>
      <c r="F112" s="70">
        <f>+'Radna '!F73</f>
        <v>21665.280844020082</v>
      </c>
      <c r="G112" s="70">
        <f>+'Radna '!G73</f>
        <v>21814.63425527369</v>
      </c>
    </row>
    <row r="113" spans="2:7" ht="13.5" thickTop="1">
      <c r="B113" s="20"/>
      <c r="C113" s="92"/>
      <c r="D113" s="92"/>
      <c r="E113" s="92"/>
      <c r="F113" s="92"/>
      <c r="G113" s="92"/>
    </row>
    <row r="114" spans="3:7" ht="12.75">
      <c r="C114" s="12"/>
      <c r="D114" s="12"/>
      <c r="E114" s="12"/>
      <c r="F114" s="12"/>
      <c r="G114" s="12"/>
    </row>
    <row r="115" ht="12.75">
      <c r="B115" s="1" t="s">
        <v>141</v>
      </c>
    </row>
    <row r="116" ht="13.5" thickBot="1">
      <c r="E116" s="60"/>
    </row>
    <row r="117" spans="2:7" ht="13.5" thickTop="1">
      <c r="B117" s="995" t="s">
        <v>1398</v>
      </c>
      <c r="C117" s="994" t="s">
        <v>1399</v>
      </c>
      <c r="D117" s="994"/>
      <c r="E117" s="994"/>
      <c r="F117" s="994"/>
      <c r="G117" s="994"/>
    </row>
    <row r="118" spans="2:7" ht="13.5" thickBot="1">
      <c r="B118" s="996"/>
      <c r="C118" s="52" t="s">
        <v>1400</v>
      </c>
      <c r="D118" s="52" t="s">
        <v>1401</v>
      </c>
      <c r="E118" s="52" t="s">
        <v>1402</v>
      </c>
      <c r="F118" s="52" t="s">
        <v>1403</v>
      </c>
      <c r="G118" s="52" t="s">
        <v>1404</v>
      </c>
    </row>
    <row r="119" spans="3:7" ht="13.5" thickTop="1">
      <c r="C119" s="75"/>
      <c r="D119" s="75"/>
      <c r="E119" s="75"/>
      <c r="F119" s="75"/>
      <c r="G119" s="75"/>
    </row>
    <row r="120" spans="2:7" ht="12.75">
      <c r="B120" s="93" t="s">
        <v>1417</v>
      </c>
      <c r="C120" s="94"/>
      <c r="D120" s="94"/>
      <c r="E120" s="94"/>
      <c r="F120" s="94"/>
      <c r="G120" s="94"/>
    </row>
    <row r="121" spans="2:7" ht="12.75">
      <c r="B121" s="2" t="s">
        <v>1414</v>
      </c>
      <c r="C121" s="82">
        <f>+C122/Meni!$E$28</f>
        <v>10729.544324289443</v>
      </c>
      <c r="D121" s="82">
        <f>+C121/Meni!$E$28</f>
        <v>10810.69785021052</v>
      </c>
      <c r="E121" s="82">
        <f>+D121/Meni!$E$28</f>
        <v>10892.465185494822</v>
      </c>
      <c r="F121" s="82">
        <f>+E121/Meni!$E$28</f>
        <v>10974.850972724795</v>
      </c>
      <c r="G121" s="82">
        <f>+F121/Meni!$E$28</f>
        <v>11057.859889597315</v>
      </c>
    </row>
    <row r="122" spans="2:8" ht="12.75">
      <c r="B122" s="2" t="s">
        <v>142</v>
      </c>
      <c r="C122" s="82">
        <f>Bilansi!Q28</f>
        <v>10649</v>
      </c>
      <c r="D122" s="82">
        <f>C122</f>
        <v>10649</v>
      </c>
      <c r="E122" s="82">
        <f>D122</f>
        <v>10649</v>
      </c>
      <c r="F122" s="82">
        <f>E122</f>
        <v>10649</v>
      </c>
      <c r="G122" s="82">
        <f>F122</f>
        <v>10649</v>
      </c>
      <c r="H122" s="12"/>
    </row>
    <row r="123" spans="2:8" ht="12.75">
      <c r="B123" s="2" t="s">
        <v>143</v>
      </c>
      <c r="C123" s="82">
        <f>+C125</f>
        <v>80.54432428944332</v>
      </c>
      <c r="D123" s="82">
        <f>+D125</f>
        <v>81.15352592107475</v>
      </c>
      <c r="E123" s="82">
        <f>+E125</f>
        <v>81.7673352843031</v>
      </c>
      <c r="F123" s="82">
        <f>+F125</f>
        <v>82.38578722997148</v>
      </c>
      <c r="G123" s="82">
        <f>+G125</f>
        <v>83.00891687251934</v>
      </c>
      <c r="H123" s="95"/>
    </row>
    <row r="124" spans="2:7" ht="12.75">
      <c r="B124" s="56" t="s">
        <v>1416</v>
      </c>
      <c r="C124" s="57">
        <f>+C125</f>
        <v>80.54432428944332</v>
      </c>
      <c r="D124" s="57">
        <f>+C124+D123</f>
        <v>161.69785021051808</v>
      </c>
      <c r="E124" s="57">
        <f>+D124+E123</f>
        <v>243.46518549482118</v>
      </c>
      <c r="F124" s="57">
        <f>+E124+F123</f>
        <v>325.85097272479265</v>
      </c>
      <c r="G124" s="57">
        <f>+F124+G123</f>
        <v>408.85988959731196</v>
      </c>
    </row>
    <row r="125" spans="2:7" ht="12.75">
      <c r="B125" s="2" t="s">
        <v>1415</v>
      </c>
      <c r="C125" s="82">
        <f>+C121*Meni!$C$28</f>
        <v>80.54432428944332</v>
      </c>
      <c r="D125" s="82">
        <f>+D121*Meni!$C$28</f>
        <v>81.15352592107475</v>
      </c>
      <c r="E125" s="82">
        <f>+E121*Meni!$C$28</f>
        <v>81.7673352843031</v>
      </c>
      <c r="F125" s="82">
        <f>+F121*Meni!$C$28</f>
        <v>82.38578722997148</v>
      </c>
      <c r="G125" s="82">
        <f>+G121*Meni!$C$28</f>
        <v>83.00891687251934</v>
      </c>
    </row>
    <row r="126" spans="3:7" ht="12.75">
      <c r="C126" s="82"/>
      <c r="D126" s="82"/>
      <c r="E126" s="82"/>
      <c r="F126" s="82"/>
      <c r="G126" s="82"/>
    </row>
    <row r="127" spans="2:7" ht="12.75">
      <c r="B127" s="93" t="s">
        <v>1418</v>
      </c>
      <c r="C127" s="94"/>
      <c r="D127" s="94"/>
      <c r="E127" s="94"/>
      <c r="F127" s="94"/>
      <c r="G127" s="94"/>
    </row>
    <row r="128" spans="2:7" ht="12.75">
      <c r="B128" s="2" t="s">
        <v>1414</v>
      </c>
      <c r="C128" s="82">
        <f>+C129/Meni!$E$34</f>
        <v>134648.41319403323</v>
      </c>
      <c r="D128" s="82">
        <f>+C128/Meni!$E$34</f>
        <v>144048.2049838005</v>
      </c>
      <c r="E128" s="82">
        <f>+D128/Meni!$E$34</f>
        <v>154104.19526558902</v>
      </c>
      <c r="F128" s="82">
        <f>+E128/Meni!$E$34</f>
        <v>164862.19318821415</v>
      </c>
      <c r="G128" s="82">
        <f>+F128/Meni!$E$34</f>
        <v>176371.20583242908</v>
      </c>
    </row>
    <row r="129" spans="2:7" ht="12.75">
      <c r="B129" s="2" t="s">
        <v>144</v>
      </c>
      <c r="C129" s="82">
        <f>Bilansi!Q31</f>
        <v>125862</v>
      </c>
      <c r="D129" s="82">
        <f>C129</f>
        <v>125862</v>
      </c>
      <c r="E129" s="82">
        <f>D129</f>
        <v>125862</v>
      </c>
      <c r="F129" s="82">
        <f>E129</f>
        <v>125862</v>
      </c>
      <c r="G129" s="82">
        <f>F129</f>
        <v>125862</v>
      </c>
    </row>
    <row r="130" spans="2:9" ht="12.75">
      <c r="B130" s="2" t="s">
        <v>143</v>
      </c>
      <c r="C130" s="82">
        <f>+C128*Meni!$C$34</f>
        <v>8786.413194033219</v>
      </c>
      <c r="D130" s="82">
        <f>+D128*Meni!$C$34</f>
        <v>9399.791789767285</v>
      </c>
      <c r="E130" s="82">
        <f>+E128*Meni!$C$34</f>
        <v>10055.990281788518</v>
      </c>
      <c r="F130" s="82">
        <f>+F128*Meni!$C$34</f>
        <v>10757.997922625122</v>
      </c>
      <c r="G130" s="82">
        <f>+G128*Meni!$C$34</f>
        <v>11509.012644214921</v>
      </c>
      <c r="I130" s="16"/>
    </row>
    <row r="131" spans="2:7" ht="12.75">
      <c r="B131" s="56" t="s">
        <v>1416</v>
      </c>
      <c r="C131" s="57">
        <f>C130</f>
        <v>8786.413194033219</v>
      </c>
      <c r="D131" s="57">
        <f>C131+D130</f>
        <v>18186.204983800504</v>
      </c>
      <c r="E131" s="57">
        <f>D131+E130</f>
        <v>28242.19526558902</v>
      </c>
      <c r="F131" s="57">
        <f>E131+F130</f>
        <v>39000.19318821414</v>
      </c>
      <c r="G131" s="57">
        <f>F131+G130</f>
        <v>50509.20583242906</v>
      </c>
    </row>
    <row r="132" spans="2:7" ht="12.75">
      <c r="B132" s="2" t="s">
        <v>1415</v>
      </c>
      <c r="C132" s="82">
        <f>+C130</f>
        <v>8786.413194033219</v>
      </c>
      <c r="D132" s="82">
        <f>+D130</f>
        <v>9399.791789767285</v>
      </c>
      <c r="E132" s="82">
        <f>+E130</f>
        <v>10055.990281788518</v>
      </c>
      <c r="F132" s="82">
        <f>+F130</f>
        <v>10757.997922625122</v>
      </c>
      <c r="G132" s="82">
        <f>+G130</f>
        <v>11509.012644214921</v>
      </c>
    </row>
    <row r="133" spans="3:7" ht="12.75">
      <c r="C133" s="82"/>
      <c r="D133" s="82"/>
      <c r="E133" s="82"/>
      <c r="F133" s="82"/>
      <c r="G133" s="82"/>
    </row>
    <row r="134" spans="2:7" ht="12.75">
      <c r="B134" s="93" t="s">
        <v>1419</v>
      </c>
      <c r="C134" s="94"/>
      <c r="D134" s="94"/>
      <c r="E134" s="94"/>
      <c r="F134" s="94"/>
      <c r="G134" s="94"/>
    </row>
    <row r="135" spans="2:7" ht="12.75">
      <c r="B135" s="2" t="s">
        <v>1414</v>
      </c>
      <c r="C135" s="82">
        <f>+Bilansi!$C$22</f>
        <v>0</v>
      </c>
      <c r="D135" s="82">
        <f>+Bilansi!$C$22</f>
        <v>0</v>
      </c>
      <c r="E135" s="82">
        <f>+Bilansi!$C$22</f>
        <v>0</v>
      </c>
      <c r="F135" s="82">
        <f>+Bilansi!$C$22</f>
        <v>0</v>
      </c>
      <c r="G135" s="82">
        <f>+Bilansi!$C$22</f>
        <v>0</v>
      </c>
    </row>
    <row r="136" spans="2:12" ht="12.75">
      <c r="B136" s="2" t="s">
        <v>1415</v>
      </c>
      <c r="C136" s="82">
        <f>IF('PB stanja'!C18&gt;0,C135*Meni!$C$31,0)</f>
        <v>0</v>
      </c>
      <c r="D136" s="82">
        <f>IF('PB stanja'!D18&gt;0,D135*Meni!$C$31,0)</f>
        <v>0</v>
      </c>
      <c r="E136" s="82">
        <f>IF('PB stanja'!E18&gt;0,E135*Meni!$C$31,0)</f>
        <v>0</v>
      </c>
      <c r="F136" s="82">
        <f>IF('PB stanja'!F18&gt;0,F135*Meni!$C$31,0)</f>
        <v>0</v>
      </c>
      <c r="G136" s="82">
        <f>IF('PB stanja'!G18&gt;0,G135*Meni!$C$31,0)</f>
        <v>0</v>
      </c>
      <c r="H136" s="14"/>
      <c r="I136" s="14"/>
      <c r="J136" s="14"/>
      <c r="K136" s="14"/>
      <c r="L136" s="14"/>
    </row>
    <row r="137" spans="3:9" ht="12.75">
      <c r="C137" s="82"/>
      <c r="D137" s="82"/>
      <c r="E137" s="82"/>
      <c r="F137" s="82"/>
      <c r="G137" s="82"/>
      <c r="I137" s="96"/>
    </row>
    <row r="138" spans="2:7" ht="13.5" thickBot="1">
      <c r="B138" s="17" t="s">
        <v>1420</v>
      </c>
      <c r="C138" s="5">
        <f>C136+C132+C125</f>
        <v>8866.957518322663</v>
      </c>
      <c r="D138" s="5">
        <f>D136+D132+D125</f>
        <v>9480.94531568836</v>
      </c>
      <c r="E138" s="5">
        <f>E136+E132+E125</f>
        <v>10137.75761707282</v>
      </c>
      <c r="F138" s="5">
        <f>F136+F132+F125</f>
        <v>10840.383709855094</v>
      </c>
      <c r="G138" s="5">
        <f>G136+G132+G125</f>
        <v>11592.02156108744</v>
      </c>
    </row>
    <row r="139" ht="13.5" thickTop="1"/>
    <row r="140" spans="2:6" ht="12.75">
      <c r="B140" s="1"/>
      <c r="D140" s="80"/>
      <c r="E140" s="81"/>
      <c r="F140" s="82"/>
    </row>
    <row r="141" spans="2:5" ht="13.5" thickBot="1">
      <c r="B141" s="1" t="s">
        <v>1421</v>
      </c>
      <c r="D141" s="11"/>
      <c r="E141" s="60"/>
    </row>
    <row r="142" spans="2:7" ht="13.5" thickTop="1">
      <c r="B142" s="995" t="s">
        <v>1398</v>
      </c>
      <c r="C142" s="994" t="s">
        <v>1399</v>
      </c>
      <c r="D142" s="994"/>
      <c r="E142" s="994"/>
      <c r="F142" s="994"/>
      <c r="G142" s="994"/>
    </row>
    <row r="143" spans="2:7" ht="13.5" thickBot="1">
      <c r="B143" s="996"/>
      <c r="C143" s="52" t="s">
        <v>1400</v>
      </c>
      <c r="D143" s="52" t="s">
        <v>1401</v>
      </c>
      <c r="E143" s="52" t="s">
        <v>1402</v>
      </c>
      <c r="F143" s="52" t="s">
        <v>1403</v>
      </c>
      <c r="G143" s="52" t="s">
        <v>1404</v>
      </c>
    </row>
    <row r="144" spans="3:7" ht="13.5" thickTop="1">
      <c r="C144" s="53"/>
      <c r="D144" s="53"/>
      <c r="E144" s="53"/>
      <c r="F144" s="53"/>
      <c r="G144" s="53"/>
    </row>
    <row r="145" spans="2:7" ht="12.75">
      <c r="B145" s="14"/>
      <c r="C145" s="97"/>
      <c r="D145" s="98"/>
      <c r="E145" s="98"/>
      <c r="F145" s="98"/>
      <c r="G145" s="98"/>
    </row>
    <row r="146" spans="2:7" ht="12.75">
      <c r="B146" s="8" t="s">
        <v>145</v>
      </c>
      <c r="C146" s="32">
        <f>+'Radna '!C70-C112</f>
        <v>15530.645129202734</v>
      </c>
      <c r="D146" s="32">
        <f>+'Radna '!D70-D112</f>
        <v>15572.563531923599</v>
      </c>
      <c r="E146" s="32">
        <f>+'Radna '!E70-E112</f>
        <v>15611.73974563698</v>
      </c>
      <c r="F146" s="32">
        <f>+'Radna '!F70-F112</f>
        <v>15640.624319671835</v>
      </c>
      <c r="G146" s="32">
        <f>+'Radna '!G70-G112</f>
        <v>15677.15077726746</v>
      </c>
    </row>
    <row r="147" spans="2:7" ht="13.5" thickBot="1">
      <c r="B147" s="23"/>
      <c r="C147" s="99"/>
      <c r="D147" s="99"/>
      <c r="E147" s="99"/>
      <c r="F147" s="99"/>
      <c r="G147" s="99"/>
    </row>
    <row r="148" spans="3:7" ht="13.5" thickTop="1">
      <c r="C148" s="53"/>
      <c r="D148" s="53"/>
      <c r="E148" s="53"/>
      <c r="F148" s="53"/>
      <c r="G148" s="53"/>
    </row>
    <row r="150" spans="2:5" ht="13.5" thickBot="1">
      <c r="B150" s="1" t="s">
        <v>1422</v>
      </c>
      <c r="D150" s="11"/>
      <c r="E150" s="60"/>
    </row>
    <row r="151" spans="2:7" ht="13.5" thickTop="1">
      <c r="B151" s="995" t="s">
        <v>1398</v>
      </c>
      <c r="C151" s="994" t="s">
        <v>1399</v>
      </c>
      <c r="D151" s="994"/>
      <c r="E151" s="994"/>
      <c r="F151" s="994"/>
      <c r="G151" s="994"/>
    </row>
    <row r="152" spans="2:7" ht="13.5" thickBot="1">
      <c r="B152" s="996"/>
      <c r="C152" s="52" t="s">
        <v>1400</v>
      </c>
      <c r="D152" s="52" t="s">
        <v>1401</v>
      </c>
      <c r="E152" s="52" t="s">
        <v>1402</v>
      </c>
      <c r="F152" s="52" t="s">
        <v>1403</v>
      </c>
      <c r="G152" s="52" t="s">
        <v>1404</v>
      </c>
    </row>
    <row r="153" spans="3:7" ht="13.5" thickTop="1">
      <c r="C153" s="53"/>
      <c r="D153" s="53"/>
      <c r="E153" s="53"/>
      <c r="F153" s="53"/>
      <c r="G153" s="53"/>
    </row>
    <row r="154" spans="2:8" ht="12.75">
      <c r="B154" s="100" t="s">
        <v>1423</v>
      </c>
      <c r="C154" s="101">
        <f>+Bilansi!Q36*Meni!C39</f>
        <v>71.93</v>
      </c>
      <c r="D154" s="101">
        <f>+C154</f>
        <v>71.93</v>
      </c>
      <c r="E154" s="101">
        <f>+D154</f>
        <v>71.93</v>
      </c>
      <c r="F154" s="101">
        <f>+E154</f>
        <v>71.93</v>
      </c>
      <c r="G154" s="101">
        <f>+F154</f>
        <v>71.93</v>
      </c>
      <c r="H154" s="102"/>
    </row>
    <row r="155" spans="2:14" ht="12.75">
      <c r="B155" s="103" t="s">
        <v>146</v>
      </c>
      <c r="C155" s="104">
        <f>(('Proj. sredstava'!C72+'Proj. sredstava'!C70)/2)*Meni!$C$41</f>
        <v>0</v>
      </c>
      <c r="D155" s="104">
        <f>(('Proj. sredstava'!D72+'Proj. sredstava'!D70)/2)*Meni!$C$41</f>
        <v>0</v>
      </c>
      <c r="E155" s="104">
        <f>(('Proj. sredstava'!E72+'Proj. sredstava'!E70)/2)*Meni!$C$41</f>
        <v>0</v>
      </c>
      <c r="F155" s="104">
        <f>(('Proj. sredstava'!F72+'Proj. sredstava'!F70)/2)*Meni!$C$41</f>
        <v>0</v>
      </c>
      <c r="G155" s="104">
        <f>(('Proj. sredstava'!G72+'Proj. sredstava'!G70)/2)*Meni!$C$41</f>
        <v>0</v>
      </c>
      <c r="H155" s="102"/>
      <c r="I155" s="12"/>
      <c r="J155" s="12"/>
      <c r="K155" s="12"/>
      <c r="L155" s="12"/>
      <c r="M155" s="12"/>
      <c r="N155" s="12"/>
    </row>
    <row r="156" spans="2:9" ht="12.75">
      <c r="B156" s="20" t="s">
        <v>147</v>
      </c>
      <c r="C156" s="32">
        <f>+'Proj. sredstava'!C76*Meni!$C$40</f>
        <v>0</v>
      </c>
      <c r="D156" s="32">
        <f>+'Proj. sredstava'!D76*Meni!$C$40</f>
        <v>0</v>
      </c>
      <c r="E156" s="32">
        <f>+'Proj. sredstava'!E76*Meni!$C$40</f>
        <v>0</v>
      </c>
      <c r="F156" s="32">
        <f>+'Proj. sredstava'!F76*Meni!$C$40</f>
        <v>0</v>
      </c>
      <c r="G156" s="32">
        <f>+'Proj. sredstava'!G76*Meni!$C$40</f>
        <v>0</v>
      </c>
      <c r="H156" s="102"/>
      <c r="I156" s="82"/>
    </row>
    <row r="157" spans="2:13" ht="12.75">
      <c r="B157" s="100" t="s">
        <v>1424</v>
      </c>
      <c r="C157" s="101">
        <f>SUM(C155:C156)</f>
        <v>0</v>
      </c>
      <c r="D157" s="101">
        <f>SUM(D155:D156)</f>
        <v>0</v>
      </c>
      <c r="E157" s="101">
        <f>SUM(E155:E156)</f>
        <v>0</v>
      </c>
      <c r="F157" s="101">
        <f>SUM(F155:F156)</f>
        <v>0</v>
      </c>
      <c r="G157" s="101">
        <f>SUM(G155:G156)</f>
        <v>0</v>
      </c>
      <c r="H157" s="102"/>
      <c r="I157" s="12"/>
      <c r="J157" s="12"/>
      <c r="K157" s="12"/>
      <c r="L157" s="12"/>
      <c r="M157" s="12"/>
    </row>
    <row r="158" spans="3:13" ht="12.75">
      <c r="C158" s="74"/>
      <c r="D158" s="74"/>
      <c r="E158" s="74"/>
      <c r="F158" s="74"/>
      <c r="G158" s="74"/>
      <c r="H158" s="102"/>
      <c r="I158" s="12"/>
      <c r="J158" s="12"/>
      <c r="K158" s="12"/>
      <c r="L158" s="12"/>
      <c r="M158" s="12"/>
    </row>
    <row r="159" spans="2:13" ht="13.5" thickBot="1">
      <c r="B159" s="17" t="s">
        <v>1425</v>
      </c>
      <c r="C159" s="7">
        <f>C157-C154</f>
        <v>-71.93</v>
      </c>
      <c r="D159" s="7">
        <f>D157-D154</f>
        <v>-71.93</v>
      </c>
      <c r="E159" s="7">
        <f>E157-E154</f>
        <v>-71.93</v>
      </c>
      <c r="F159" s="7">
        <f>F157-F154</f>
        <v>-71.93</v>
      </c>
      <c r="G159" s="7">
        <f>G157-G154</f>
        <v>-71.93</v>
      </c>
      <c r="H159" s="102"/>
      <c r="J159" s="105"/>
      <c r="K159" s="105"/>
      <c r="L159" s="105"/>
      <c r="M159" s="105"/>
    </row>
    <row r="160" spans="10:13" ht="13.5" thickTop="1">
      <c r="J160" s="105"/>
      <c r="K160" s="105"/>
      <c r="L160" s="105"/>
      <c r="M160" s="105"/>
    </row>
    <row r="161" spans="9:12" ht="12.75">
      <c r="I161" s="12"/>
      <c r="J161" s="53"/>
      <c r="K161" s="53"/>
      <c r="L161" s="53"/>
    </row>
    <row r="162" spans="2:12" ht="12.75">
      <c r="B162" s="8" t="s">
        <v>1426</v>
      </c>
      <c r="J162" s="53"/>
      <c r="K162" s="53"/>
      <c r="L162" s="53"/>
    </row>
    <row r="163" spans="10:15" ht="13.5" thickBot="1">
      <c r="J163" s="105"/>
      <c r="K163" s="105"/>
      <c r="L163" s="105"/>
      <c r="M163" s="105"/>
      <c r="N163" s="105"/>
      <c r="O163" s="105"/>
    </row>
    <row r="164" spans="2:15" ht="13.5" thickTop="1">
      <c r="B164" s="51" t="s">
        <v>1427</v>
      </c>
      <c r="C164" s="51" t="s">
        <v>1428</v>
      </c>
      <c r="D164" s="994" t="s">
        <v>1399</v>
      </c>
      <c r="E164" s="994"/>
      <c r="F164" s="994"/>
      <c r="G164" s="994"/>
      <c r="H164" s="994"/>
      <c r="J164" s="105"/>
      <c r="K164" s="105"/>
      <c r="L164" s="105"/>
      <c r="M164" s="105"/>
      <c r="N164" s="105"/>
      <c r="O164" s="105"/>
    </row>
    <row r="165" spans="2:15" ht="13.5" thickBot="1">
      <c r="B165" s="23"/>
      <c r="C165" s="99" t="s">
        <v>1429</v>
      </c>
      <c r="D165" s="52" t="s">
        <v>1400</v>
      </c>
      <c r="E165" s="52" t="s">
        <v>1401</v>
      </c>
      <c r="F165" s="52" t="s">
        <v>1402</v>
      </c>
      <c r="G165" s="52" t="s">
        <v>1403</v>
      </c>
      <c r="H165" s="52" t="s">
        <v>1404</v>
      </c>
      <c r="J165" s="105"/>
      <c r="K165" s="105"/>
      <c r="L165" s="105"/>
      <c r="M165" s="105"/>
      <c r="N165" s="105"/>
      <c r="O165" s="105"/>
    </row>
    <row r="166" spans="4:15" ht="13.5" thickTop="1">
      <c r="D166" s="53"/>
      <c r="E166" s="53"/>
      <c r="F166" s="53"/>
      <c r="G166" s="53"/>
      <c r="H166" s="53"/>
      <c r="J166" s="105"/>
      <c r="K166" s="105"/>
      <c r="L166" s="105"/>
      <c r="M166" s="105"/>
      <c r="N166" s="105"/>
      <c r="O166" s="105"/>
    </row>
    <row r="167" spans="2:15" ht="12.75">
      <c r="B167" s="106" t="s">
        <v>1356</v>
      </c>
      <c r="C167" s="107">
        <f aca="true" t="shared" si="1" ref="C167:H167">SUM(C168:C170)</f>
        <v>105578.55000000002</v>
      </c>
      <c r="D167" s="107">
        <f t="shared" si="1"/>
        <v>107909.30138211742</v>
      </c>
      <c r="E167" s="107">
        <f t="shared" si="1"/>
        <v>110067.48740975978</v>
      </c>
      <c r="F167" s="107">
        <f t="shared" si="1"/>
        <v>111535.05390855658</v>
      </c>
      <c r="G167" s="107">
        <f t="shared" si="1"/>
        <v>113022.18796067068</v>
      </c>
      <c r="H167" s="107">
        <f t="shared" si="1"/>
        <v>114529.15046681296</v>
      </c>
      <c r="J167" s="105"/>
      <c r="K167" s="105"/>
      <c r="L167" s="105"/>
      <c r="M167" s="105"/>
      <c r="N167" s="105"/>
      <c r="O167" s="105"/>
    </row>
    <row r="168" spans="2:15" ht="12.75">
      <c r="B168" s="108" t="s">
        <v>127</v>
      </c>
      <c r="C168" s="109">
        <f>Bilansi!C104*Meni!C49</f>
        <v>105040.95000000001</v>
      </c>
      <c r="D168" s="110">
        <f>C50</f>
        <v>107141.76900000001</v>
      </c>
      <c r="E168" s="110">
        <f>D50</f>
        <v>109284.60438000002</v>
      </c>
      <c r="F168" s="110">
        <f>E50</f>
        <v>110741.73243840002</v>
      </c>
      <c r="G168" s="110">
        <f>F50</f>
        <v>112218.28887091203</v>
      </c>
      <c r="H168" s="110">
        <f>G50</f>
        <v>113714.5327225242</v>
      </c>
      <c r="J168" s="105"/>
      <c r="K168" s="105"/>
      <c r="L168" s="105"/>
      <c r="M168" s="105"/>
      <c r="N168" s="105"/>
      <c r="O168" s="105"/>
    </row>
    <row r="169" spans="2:15" ht="12.75">
      <c r="B169" s="108" t="s">
        <v>128</v>
      </c>
      <c r="C169" s="109">
        <f>Bilansi!C105*Meni!C49</f>
        <v>0</v>
      </c>
      <c r="D169" s="110">
        <f>C51</f>
        <v>0</v>
      </c>
      <c r="E169" s="110">
        <f aca="true" t="shared" si="2" ref="D169:H170">D51</f>
        <v>0</v>
      </c>
      <c r="F169" s="110">
        <f t="shared" si="2"/>
        <v>0</v>
      </c>
      <c r="G169" s="110">
        <f t="shared" si="2"/>
        <v>0</v>
      </c>
      <c r="H169" s="110">
        <f t="shared" si="2"/>
        <v>0</v>
      </c>
      <c r="J169" s="105"/>
      <c r="K169" s="105"/>
      <c r="L169" s="105"/>
      <c r="M169" s="105"/>
      <c r="N169" s="105"/>
      <c r="O169" s="105"/>
    </row>
    <row r="170" spans="2:8" ht="12.75">
      <c r="B170" s="111" t="s">
        <v>1430</v>
      </c>
      <c r="C170" s="112">
        <f>(Bilansi!C106+Bilansi!C107-Bilansi!C108)*Meni!C49</f>
        <v>537.6</v>
      </c>
      <c r="D170" s="113">
        <f t="shared" si="2"/>
        <v>767.5323821174097</v>
      </c>
      <c r="E170" s="113">
        <f t="shared" si="2"/>
        <v>782.8830297597597</v>
      </c>
      <c r="F170" s="113">
        <f t="shared" si="2"/>
        <v>793.3214701565594</v>
      </c>
      <c r="G170" s="113">
        <f t="shared" si="2"/>
        <v>803.8990897586482</v>
      </c>
      <c r="H170" s="113">
        <f t="shared" si="2"/>
        <v>814.6177442887565</v>
      </c>
    </row>
    <row r="171" spans="2:8" ht="12.75">
      <c r="B171" s="106" t="s">
        <v>1359</v>
      </c>
      <c r="C171" s="107">
        <f aca="true" t="shared" si="3" ref="C171:H171">SUM(C172:C177)</f>
        <v>101842.55</v>
      </c>
      <c r="D171" s="107">
        <f t="shared" si="3"/>
        <v>101747.86632849004</v>
      </c>
      <c r="E171" s="107">
        <f t="shared" si="3"/>
        <v>103379.91374503414</v>
      </c>
      <c r="F171" s="107">
        <f t="shared" si="3"/>
        <v>104579.90980516905</v>
      </c>
      <c r="G171" s="107">
        <f t="shared" si="3"/>
        <v>105826.9587064599</v>
      </c>
      <c r="H171" s="107">
        <f t="shared" si="3"/>
        <v>107142.34283524958</v>
      </c>
    </row>
    <row r="172" spans="2:8" ht="12.75">
      <c r="B172" s="108" t="s">
        <v>103</v>
      </c>
      <c r="C172" s="109">
        <f>(Bilansi!C111+Bilansi!C110)*Meni!C49</f>
        <v>23298.45</v>
      </c>
      <c r="D172" s="110">
        <f>C68</f>
        <v>22745.41918948826</v>
      </c>
      <c r="E172" s="110">
        <f>D68</f>
        <v>23159.861673378025</v>
      </c>
      <c r="F172" s="110">
        <f>E68</f>
        <v>23441.71456242307</v>
      </c>
      <c r="G172" s="110">
        <f>F68</f>
        <v>23727.324156655377</v>
      </c>
      <c r="H172" s="110">
        <f>G68</f>
        <v>24016.740545477453</v>
      </c>
    </row>
    <row r="173" spans="2:8" ht="12.75">
      <c r="B173" s="108" t="s">
        <v>105</v>
      </c>
      <c r="C173" s="109">
        <f>Bilansi!C112*Meni!C49</f>
        <v>9270.45</v>
      </c>
      <c r="D173" s="110">
        <f>C83</f>
        <v>9248.458862731863</v>
      </c>
      <c r="E173" s="110">
        <f>D83</f>
        <v>9605.94126568473</v>
      </c>
      <c r="F173" s="110">
        <f>E83</f>
        <v>9850.351569736777</v>
      </c>
      <c r="G173" s="110">
        <f>F83</f>
        <v>10099.433787515882</v>
      </c>
      <c r="H173" s="110">
        <f>G83</f>
        <v>10353.270929830498</v>
      </c>
    </row>
    <row r="174" spans="2:8" ht="12.75">
      <c r="B174" s="108" t="s">
        <v>148</v>
      </c>
      <c r="C174" s="109">
        <f>Bilansi!C113*Meni!C49</f>
        <v>25161.15</v>
      </c>
      <c r="D174" s="110">
        <f>C99</f>
        <v>24197.837399999997</v>
      </c>
      <c r="E174" s="110">
        <f>D99</f>
        <v>24188.158265039998</v>
      </c>
      <c r="F174" s="110">
        <f>E99</f>
        <v>24020.45370106906</v>
      </c>
      <c r="G174" s="110">
        <f>F99</f>
        <v>23853.911888741648</v>
      </c>
      <c r="H174" s="110">
        <f>G99</f>
        <v>23688.52476631304</v>
      </c>
    </row>
    <row r="175" spans="2:8" ht="12.75">
      <c r="B175" s="108" t="s">
        <v>149</v>
      </c>
      <c r="C175" s="109">
        <f>+Bilansi!C114</f>
        <v>19931</v>
      </c>
      <c r="D175" s="110">
        <f>C112</f>
        <v>21158.548228744527</v>
      </c>
      <c r="E175" s="110">
        <f>D112</f>
        <v>21372.44369331942</v>
      </c>
      <c r="F175" s="110">
        <f>E112</f>
        <v>21517.892609230345</v>
      </c>
      <c r="G175" s="110">
        <f>F112</f>
        <v>21665.280844020082</v>
      </c>
      <c r="H175" s="110">
        <f>G112</f>
        <v>21814.63425527369</v>
      </c>
    </row>
    <row r="176" spans="2:8" ht="12.75">
      <c r="B176" s="108" t="s">
        <v>150</v>
      </c>
      <c r="C176" s="109">
        <f>Bilansi!C115*Meni!C49</f>
        <v>8707.65</v>
      </c>
      <c r="D176" s="110">
        <f>C138</f>
        <v>8866.957518322663</v>
      </c>
      <c r="E176" s="110">
        <f>D138</f>
        <v>9480.94531568836</v>
      </c>
      <c r="F176" s="110">
        <f>E138</f>
        <v>10137.75761707282</v>
      </c>
      <c r="G176" s="110">
        <f>F138</f>
        <v>10840.383709855094</v>
      </c>
      <c r="H176" s="110">
        <f>G138</f>
        <v>11592.02156108744</v>
      </c>
    </row>
    <row r="177" spans="2:8" ht="12.75">
      <c r="B177" s="111" t="s">
        <v>145</v>
      </c>
      <c r="C177" s="109">
        <f>(Bilansi!C116+Bilansi!C117)*Meni!C49</f>
        <v>15473.85</v>
      </c>
      <c r="D177" s="113">
        <f>C146</f>
        <v>15530.645129202734</v>
      </c>
      <c r="E177" s="113">
        <f>D146</f>
        <v>15572.563531923599</v>
      </c>
      <c r="F177" s="113">
        <f>E146</f>
        <v>15611.73974563698</v>
      </c>
      <c r="G177" s="113">
        <f>F146</f>
        <v>15640.624319671835</v>
      </c>
      <c r="H177" s="113">
        <f>G146</f>
        <v>15677.15077726746</v>
      </c>
    </row>
    <row r="178" spans="2:8" ht="12.75">
      <c r="B178" s="106" t="s">
        <v>1360</v>
      </c>
      <c r="C178" s="107">
        <f aca="true" t="shared" si="4" ref="C178:H178">C167-C171</f>
        <v>3736.0000000000146</v>
      </c>
      <c r="D178" s="107">
        <f t="shared" si="4"/>
        <v>6161.435053627385</v>
      </c>
      <c r="E178" s="107">
        <f t="shared" si="4"/>
        <v>6687.573664725642</v>
      </c>
      <c r="F178" s="107">
        <f t="shared" si="4"/>
        <v>6955.144103387531</v>
      </c>
      <c r="G178" s="107">
        <f t="shared" si="4"/>
        <v>7195.229254210775</v>
      </c>
      <c r="H178" s="107">
        <f t="shared" si="4"/>
        <v>7386.807631563381</v>
      </c>
    </row>
    <row r="179" spans="2:8" ht="12.75">
      <c r="B179" s="111" t="s">
        <v>1425</v>
      </c>
      <c r="C179" s="112">
        <f>(Bilansi!C123-Bilansi!C120)*Meni!C49</f>
        <v>715.0500000000001</v>
      </c>
      <c r="D179" s="113">
        <f>C159</f>
        <v>-71.93</v>
      </c>
      <c r="E179" s="113">
        <f>D159</f>
        <v>-71.93</v>
      </c>
      <c r="F179" s="113">
        <f>E159</f>
        <v>-71.93</v>
      </c>
      <c r="G179" s="113">
        <f>F159</f>
        <v>-71.93</v>
      </c>
      <c r="H179" s="113">
        <f>G159</f>
        <v>-71.93</v>
      </c>
    </row>
    <row r="180" spans="2:8" ht="12.75">
      <c r="B180" s="106" t="s">
        <v>1431</v>
      </c>
      <c r="C180" s="107">
        <f aca="true" t="shared" si="5" ref="C180:H180">C178-C179</f>
        <v>3020.9500000000144</v>
      </c>
      <c r="D180" s="107">
        <f t="shared" si="5"/>
        <v>6233.365053627385</v>
      </c>
      <c r="E180" s="107">
        <f t="shared" si="5"/>
        <v>6759.503664725642</v>
      </c>
      <c r="F180" s="107">
        <f t="shared" si="5"/>
        <v>7027.074103387531</v>
      </c>
      <c r="G180" s="107">
        <f t="shared" si="5"/>
        <v>7267.1592542107755</v>
      </c>
      <c r="H180" s="107">
        <f t="shared" si="5"/>
        <v>7458.737631563381</v>
      </c>
    </row>
    <row r="181" spans="2:8" ht="12.75">
      <c r="B181" s="111" t="s">
        <v>1432</v>
      </c>
      <c r="C181" s="112">
        <f>Bilansi!C127*Meni!C49</f>
        <v>0</v>
      </c>
      <c r="D181" s="113">
        <f>IF(D180&gt;0,14%*D180,0)</f>
        <v>872.671107507834</v>
      </c>
      <c r="E181" s="113">
        <f>IF(E180&gt;0,14%*E180,0)</f>
        <v>946.33051306159</v>
      </c>
      <c r="F181" s="113">
        <f>IF(F180&gt;0,14%*F180,0)</f>
        <v>983.7903744742545</v>
      </c>
      <c r="G181" s="113">
        <f>IF(G180&gt;0,14%*G180,0)</f>
        <v>1017.4022955895086</v>
      </c>
      <c r="H181" s="113">
        <f>IF(H180&gt;0,14%*H180,0)</f>
        <v>1044.2232684188734</v>
      </c>
    </row>
    <row r="182" spans="2:8" ht="13.5" thickBot="1">
      <c r="B182" s="17" t="s">
        <v>1433</v>
      </c>
      <c r="C182" s="5">
        <f aca="true" t="shared" si="6" ref="C182:H182">C180-C181</f>
        <v>3020.9500000000144</v>
      </c>
      <c r="D182" s="5">
        <f t="shared" si="6"/>
        <v>5360.693946119552</v>
      </c>
      <c r="E182" s="5">
        <f t="shared" si="6"/>
        <v>5813.173151664052</v>
      </c>
      <c r="F182" s="5">
        <f t="shared" si="6"/>
        <v>6043.283728913277</v>
      </c>
      <c r="G182" s="5">
        <f t="shared" si="6"/>
        <v>6249.756958621267</v>
      </c>
      <c r="H182" s="5">
        <f t="shared" si="6"/>
        <v>6414.514363144508</v>
      </c>
    </row>
    <row r="183" spans="4:8" ht="13.5" thickTop="1">
      <c r="D183" s="114"/>
      <c r="E183" s="114"/>
      <c r="F183" s="114"/>
      <c r="G183" s="114"/>
      <c r="H183" s="114"/>
    </row>
    <row r="184" spans="4:8" ht="12.75">
      <c r="D184" s="114"/>
      <c r="E184" s="114"/>
      <c r="F184" s="114"/>
      <c r="G184" s="114"/>
      <c r="H184" s="114"/>
    </row>
    <row r="185" spans="2:8" ht="12.75">
      <c r="B185" s="2" t="s">
        <v>335</v>
      </c>
      <c r="D185" s="115">
        <f>D167/C167-1</f>
        <v>0.02207599348653111</v>
      </c>
      <c r="E185" s="115">
        <f>E167/D167-1</f>
        <v>0.020000000000000018</v>
      </c>
      <c r="F185" s="115">
        <f>F167/E167-1</f>
        <v>0.01333333333333342</v>
      </c>
      <c r="G185" s="115">
        <f>G167/F167-1</f>
        <v>0.01333333333333342</v>
      </c>
      <c r="H185" s="115">
        <f>H167/G167-1</f>
        <v>0.01333333333333342</v>
      </c>
    </row>
    <row r="186" spans="4:8" ht="12.75">
      <c r="D186" s="114"/>
      <c r="E186" s="114"/>
      <c r="F186" s="114"/>
      <c r="G186" s="114"/>
      <c r="H186" s="114"/>
    </row>
    <row r="187" spans="2:8" ht="12.75">
      <c r="B187" s="2" t="s">
        <v>254</v>
      </c>
      <c r="C187" s="10">
        <f aca="true" t="shared" si="7" ref="C187:H187">C178/C167</f>
        <v>0.03538597565509295</v>
      </c>
      <c r="D187" s="10">
        <f t="shared" si="7"/>
        <v>0.05709827581784761</v>
      </c>
      <c r="E187" s="10">
        <f t="shared" si="7"/>
        <v>0.060758847340896496</v>
      </c>
      <c r="F187" s="10">
        <f t="shared" si="7"/>
        <v>0.062358369496013276</v>
      </c>
      <c r="G187" s="10">
        <f t="shared" si="7"/>
        <v>0.06366209488631172</v>
      </c>
      <c r="H187" s="10">
        <f t="shared" si="7"/>
        <v>0.06449718348084535</v>
      </c>
    </row>
    <row r="200" spans="4:8" ht="12.75">
      <c r="D200" s="116">
        <f>D168/180</f>
        <v>595.2320500000001</v>
      </c>
      <c r="E200" s="116">
        <f>E168/180</f>
        <v>607.1366910000002</v>
      </c>
      <c r="F200" s="116">
        <f>F168/180</f>
        <v>615.2318468800001</v>
      </c>
      <c r="G200" s="116">
        <f>G168/180</f>
        <v>623.4349381717335</v>
      </c>
      <c r="H200" s="116">
        <f>H168/180</f>
        <v>631.7474040140233</v>
      </c>
    </row>
  </sheetData>
  <sheetProtection/>
  <mergeCells count="23">
    <mergeCell ref="C4:G4"/>
    <mergeCell ref="B4:B5"/>
    <mergeCell ref="B22:B23"/>
    <mergeCell ref="C22:G22"/>
    <mergeCell ref="B47:B48"/>
    <mergeCell ref="C47:G47"/>
    <mergeCell ref="B38:B39"/>
    <mergeCell ref="C38:H38"/>
    <mergeCell ref="C61:G61"/>
    <mergeCell ref="B74:B75"/>
    <mergeCell ref="C74:G74"/>
    <mergeCell ref="B151:B152"/>
    <mergeCell ref="C151:G151"/>
    <mergeCell ref="C117:G117"/>
    <mergeCell ref="B61:B62"/>
    <mergeCell ref="D164:H164"/>
    <mergeCell ref="B88:B89"/>
    <mergeCell ref="C88:G88"/>
    <mergeCell ref="B142:B143"/>
    <mergeCell ref="C142:G142"/>
    <mergeCell ref="B108:B109"/>
    <mergeCell ref="C108:G108"/>
    <mergeCell ref="B117:B1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92"/>
  <sheetViews>
    <sheetView zoomScalePageLayoutView="0" workbookViewId="0" topLeftCell="A23">
      <selection activeCell="I32" sqref="I32"/>
    </sheetView>
  </sheetViews>
  <sheetFormatPr defaultColWidth="9.140625" defaultRowHeight="12.75"/>
  <cols>
    <col min="1" max="1" width="9.140625" style="2" customWidth="1"/>
    <col min="2" max="2" width="30.140625" style="2" customWidth="1"/>
    <col min="3" max="3" width="14.28125" style="2" bestFit="1" customWidth="1"/>
    <col min="4" max="4" width="17.7109375" style="2" bestFit="1" customWidth="1"/>
    <col min="5" max="5" width="8.7109375" style="2" customWidth="1"/>
    <col min="6" max="6" width="11.28125" style="2" customWidth="1"/>
    <col min="7" max="7" width="9.57421875" style="2" customWidth="1"/>
    <col min="8" max="8" width="9.7109375" style="2" customWidth="1"/>
    <col min="9" max="9" width="9.00390625" style="2" customWidth="1"/>
    <col min="10" max="10" width="10.57421875" style="2" customWidth="1"/>
    <col min="11" max="11" width="14.28125" style="2" customWidth="1"/>
    <col min="12" max="14" width="8.7109375" style="2" customWidth="1"/>
    <col min="15" max="16384" width="9.140625" style="2" customWidth="1"/>
  </cols>
  <sheetData>
    <row r="4" ht="12.75">
      <c r="B4" s="1" t="s">
        <v>1055</v>
      </c>
    </row>
    <row r="5" ht="13.5" thickBot="1"/>
    <row r="6" spans="2:11" ht="14.25" thickBot="1" thickTop="1">
      <c r="B6" s="117"/>
      <c r="C6" s="117" t="s">
        <v>1434</v>
      </c>
      <c r="D6" s="117" t="s">
        <v>1435</v>
      </c>
      <c r="E6" s="8" t="s">
        <v>1056</v>
      </c>
      <c r="F6" s="53" t="s">
        <v>337</v>
      </c>
      <c r="G6" s="118" t="s">
        <v>340</v>
      </c>
      <c r="H6" s="119"/>
      <c r="I6" s="119"/>
      <c r="J6" s="51" t="s">
        <v>341</v>
      </c>
      <c r="K6" s="51" t="s">
        <v>343</v>
      </c>
    </row>
    <row r="7" spans="2:11" ht="13.5" thickTop="1">
      <c r="B7" s="20"/>
      <c r="C7" s="20"/>
      <c r="D7" s="20"/>
      <c r="E7" s="53" t="s">
        <v>1448</v>
      </c>
      <c r="F7" s="53" t="s">
        <v>338</v>
      </c>
      <c r="G7" s="120" t="s">
        <v>1068</v>
      </c>
      <c r="H7" s="20"/>
      <c r="I7" s="20"/>
      <c r="J7" s="21" t="s">
        <v>342</v>
      </c>
      <c r="K7" s="21" t="s">
        <v>344</v>
      </c>
    </row>
    <row r="8" spans="2:11" ht="13.5" thickBot="1">
      <c r="B8" s="20"/>
      <c r="C8" s="121"/>
      <c r="D8" s="122"/>
      <c r="G8" s="17" t="s">
        <v>1057</v>
      </c>
      <c r="H8" s="23"/>
      <c r="I8" s="23"/>
      <c r="J8" s="99"/>
      <c r="K8" s="123" t="s">
        <v>1052</v>
      </c>
    </row>
    <row r="9" spans="2:11" ht="13.5" thickTop="1">
      <c r="B9" s="20" t="s">
        <v>1439</v>
      </c>
      <c r="C9" s="124">
        <f>Bilansi!C111/((Bilansi!C14+Bilansi!E14)/2)</f>
        <v>8.077539133600292</v>
      </c>
      <c r="D9" s="124">
        <f aca="true" t="shared" si="0" ref="D9:F16">360/C9</f>
        <v>44.56802920365947</v>
      </c>
      <c r="E9" s="2">
        <v>6</v>
      </c>
      <c r="F9" s="124">
        <f t="shared" si="0"/>
        <v>60</v>
      </c>
      <c r="G9" s="100" t="s">
        <v>1439</v>
      </c>
      <c r="H9" s="100"/>
      <c r="I9" s="100"/>
      <c r="J9" s="100">
        <f>E9</f>
        <v>6</v>
      </c>
      <c r="K9" s="113">
        <f>F9</f>
        <v>60</v>
      </c>
    </row>
    <row r="10" spans="2:11" ht="12.75">
      <c r="B10" s="20" t="s">
        <v>151</v>
      </c>
      <c r="C10" s="124" t="e">
        <f>(+Bilansi!C109-Bilansi!C115-Bilansi!C116-Bilansi!C117)/((Bilansi!C15+Bilansi!E15)/2)</f>
        <v>#DIV/0!</v>
      </c>
      <c r="D10" s="124" t="e">
        <f t="shared" si="0"/>
        <v>#DIV/0!</v>
      </c>
      <c r="E10" s="2">
        <v>90</v>
      </c>
      <c r="F10" s="124">
        <f t="shared" si="0"/>
        <v>4</v>
      </c>
      <c r="G10" s="66" t="s">
        <v>151</v>
      </c>
      <c r="H10" s="66"/>
      <c r="I10" s="66"/>
      <c r="J10" s="66">
        <f aca="true" t="shared" si="1" ref="J10:J16">E10</f>
        <v>90</v>
      </c>
      <c r="K10" s="125">
        <f aca="true" t="shared" si="2" ref="K10:K16">F10</f>
        <v>4</v>
      </c>
    </row>
    <row r="11" spans="2:11" ht="12.75">
      <c r="B11" s="20" t="s">
        <v>1436</v>
      </c>
      <c r="C11" s="124" t="e">
        <f>(+Bilansi!C109-Bilansi!C115)/((Bilansi!C16+Bilansi!E16)/2)</f>
        <v>#DIV/0!</v>
      </c>
      <c r="D11" s="124" t="e">
        <f t="shared" si="0"/>
        <v>#DIV/0!</v>
      </c>
      <c r="E11" s="2">
        <v>180</v>
      </c>
      <c r="F11" s="124">
        <f t="shared" si="0"/>
        <v>2</v>
      </c>
      <c r="G11" s="66" t="s">
        <v>1436</v>
      </c>
      <c r="H11" s="66"/>
      <c r="I11" s="66"/>
      <c r="J11" s="66">
        <f t="shared" si="1"/>
        <v>180</v>
      </c>
      <c r="K11" s="125">
        <f t="shared" si="2"/>
        <v>2</v>
      </c>
    </row>
    <row r="12" spans="2:11" ht="12.75">
      <c r="B12" s="20" t="s">
        <v>1053</v>
      </c>
      <c r="C12" s="124">
        <f>+(Bilansi!C104+Bilansi!C105)/((Bilansi!C11+Bilansi!E11)/2)</f>
        <v>7.741159173566509</v>
      </c>
      <c r="D12" s="124">
        <f t="shared" si="0"/>
        <v>46.50466318135927</v>
      </c>
      <c r="E12" s="2">
        <v>12</v>
      </c>
      <c r="F12" s="124">
        <f t="shared" si="0"/>
        <v>30</v>
      </c>
      <c r="G12" s="66" t="s">
        <v>1053</v>
      </c>
      <c r="H12" s="66"/>
      <c r="I12" s="66"/>
      <c r="J12" s="66">
        <f t="shared" si="1"/>
        <v>12</v>
      </c>
      <c r="K12" s="125">
        <f t="shared" si="2"/>
        <v>30</v>
      </c>
    </row>
    <row r="13" spans="2:11" ht="12.75">
      <c r="B13" s="20" t="s">
        <v>1437</v>
      </c>
      <c r="C13" s="124">
        <f>+(Bilansi!C109-Bilansi!C115)/((Bilansi!C8+Bilansi!E8)/2)</f>
        <v>468.14099216710184</v>
      </c>
      <c r="D13" s="124">
        <f t="shared" si="0"/>
        <v>0.7689990964762574</v>
      </c>
      <c r="E13" s="2">
        <v>120</v>
      </c>
      <c r="F13" s="124">
        <f t="shared" si="0"/>
        <v>3</v>
      </c>
      <c r="G13" s="66" t="s">
        <v>1437</v>
      </c>
      <c r="H13" s="66"/>
      <c r="I13" s="66"/>
      <c r="J13" s="66">
        <f t="shared" si="1"/>
        <v>120</v>
      </c>
      <c r="K13" s="125">
        <f t="shared" si="2"/>
        <v>3</v>
      </c>
    </row>
    <row r="14" spans="2:11" ht="12.75">
      <c r="B14" s="20" t="s">
        <v>1069</v>
      </c>
      <c r="C14" s="124">
        <f>+(Bilansi!C110+Bilansi!C111+Bilansi!C112+Bilansi!C114)/((Bilansi!C51+Bilansi!E51)/2)</f>
        <v>6.58766485647789</v>
      </c>
      <c r="D14" s="124">
        <f t="shared" si="0"/>
        <v>54.647588765235824</v>
      </c>
      <c r="E14" s="2">
        <v>12</v>
      </c>
      <c r="F14" s="124">
        <f t="shared" si="0"/>
        <v>30</v>
      </c>
      <c r="G14" s="66" t="s">
        <v>1069</v>
      </c>
      <c r="H14" s="66"/>
      <c r="I14" s="66"/>
      <c r="J14" s="66">
        <f t="shared" si="1"/>
        <v>12</v>
      </c>
      <c r="K14" s="125">
        <f t="shared" si="2"/>
        <v>30</v>
      </c>
    </row>
    <row r="15" spans="2:11" ht="12.75">
      <c r="B15" s="20" t="s">
        <v>1438</v>
      </c>
      <c r="C15" s="124">
        <v>12</v>
      </c>
      <c r="D15" s="124">
        <f t="shared" si="0"/>
        <v>30</v>
      </c>
      <c r="E15" s="2">
        <v>12</v>
      </c>
      <c r="F15" s="124">
        <f t="shared" si="0"/>
        <v>30</v>
      </c>
      <c r="G15" s="66" t="s">
        <v>1438</v>
      </c>
      <c r="H15" s="66"/>
      <c r="I15" s="66"/>
      <c r="J15" s="66">
        <f t="shared" si="1"/>
        <v>12</v>
      </c>
      <c r="K15" s="125">
        <f t="shared" si="2"/>
        <v>30</v>
      </c>
    </row>
    <row r="16" spans="2:11" ht="13.5" thickBot="1">
      <c r="B16" s="20" t="s">
        <v>152</v>
      </c>
      <c r="C16" s="124">
        <v>12</v>
      </c>
      <c r="D16" s="124">
        <f t="shared" si="0"/>
        <v>30</v>
      </c>
      <c r="E16" s="2">
        <v>12</v>
      </c>
      <c r="F16" s="124">
        <f t="shared" si="0"/>
        <v>30</v>
      </c>
      <c r="G16" s="126" t="s">
        <v>152</v>
      </c>
      <c r="H16" s="126"/>
      <c r="I16" s="126"/>
      <c r="J16" s="126">
        <f t="shared" si="1"/>
        <v>12</v>
      </c>
      <c r="K16" s="127">
        <f t="shared" si="2"/>
        <v>30</v>
      </c>
    </row>
    <row r="17" spans="2:4" ht="14.25" thickBot="1" thickTop="1">
      <c r="B17" s="23"/>
      <c r="C17" s="23"/>
      <c r="D17" s="23"/>
    </row>
    <row r="18" ht="13.5" thickTop="1"/>
    <row r="20" ht="12.75">
      <c r="B20" s="1" t="s">
        <v>1440</v>
      </c>
    </row>
    <row r="21" ht="13.5" thickBot="1"/>
    <row r="22" spans="2:14" ht="13.5" thickTop="1">
      <c r="B22" s="51" t="s">
        <v>1441</v>
      </c>
      <c r="C22" s="994" t="s">
        <v>1447</v>
      </c>
      <c r="D22" s="994"/>
      <c r="E22" s="994"/>
      <c r="F22" s="994"/>
      <c r="G22" s="994"/>
      <c r="H22" s="51" t="s">
        <v>1448</v>
      </c>
      <c r="I22" s="51" t="s">
        <v>253</v>
      </c>
      <c r="J22" s="994" t="s">
        <v>1449</v>
      </c>
      <c r="K22" s="994"/>
      <c r="L22" s="994"/>
      <c r="M22" s="994"/>
      <c r="N22" s="994"/>
    </row>
    <row r="23" spans="2:14" ht="13.5" thickBot="1">
      <c r="B23" s="23"/>
      <c r="C23" s="52">
        <v>2002</v>
      </c>
      <c r="D23" s="52">
        <v>2003</v>
      </c>
      <c r="E23" s="52">
        <v>2004</v>
      </c>
      <c r="F23" s="52">
        <v>2005</v>
      </c>
      <c r="G23" s="52">
        <v>2006</v>
      </c>
      <c r="H23" s="23"/>
      <c r="I23" s="99" t="s">
        <v>1429</v>
      </c>
      <c r="J23" s="52">
        <v>2002</v>
      </c>
      <c r="K23" s="52">
        <v>2003</v>
      </c>
      <c r="L23" s="52">
        <v>2004</v>
      </c>
      <c r="M23" s="52">
        <v>2005</v>
      </c>
      <c r="N23" s="52">
        <v>2006</v>
      </c>
    </row>
    <row r="24" spans="2:14" ht="13.5" thickTop="1">
      <c r="B24" s="20"/>
      <c r="C24" s="21"/>
      <c r="D24" s="21"/>
      <c r="E24" s="21"/>
      <c r="F24" s="21"/>
      <c r="G24" s="21"/>
      <c r="H24" s="20"/>
      <c r="I24" s="20"/>
      <c r="J24" s="21"/>
      <c r="K24" s="21"/>
      <c r="L24" s="21"/>
      <c r="M24" s="21"/>
      <c r="N24" s="21"/>
    </row>
    <row r="25" spans="2:14" ht="12.75">
      <c r="B25" s="31" t="s">
        <v>1442</v>
      </c>
      <c r="C25" s="18"/>
      <c r="D25" s="18"/>
      <c r="E25" s="18"/>
      <c r="F25" s="18"/>
      <c r="G25" s="18"/>
      <c r="H25" s="18"/>
      <c r="I25" s="18">
        <f>+I26+I30+I31</f>
        <v>20877</v>
      </c>
      <c r="J25" s="18">
        <f>J26+J30+J31</f>
        <v>14868.843944844419</v>
      </c>
      <c r="K25" s="18">
        <f>K26+K30+K31</f>
        <v>15141.473037608612</v>
      </c>
      <c r="L25" s="18">
        <f>L26+L30+L31</f>
        <v>15323.020160021397</v>
      </c>
      <c r="M25" s="18">
        <f>M26+M30+M31</f>
        <v>15506.957758937333</v>
      </c>
      <c r="N25" s="18">
        <f>N26+N30+N31</f>
        <v>15693.568618785454</v>
      </c>
    </row>
    <row r="26" spans="2:14" ht="12.75">
      <c r="B26" s="20" t="s">
        <v>1330</v>
      </c>
      <c r="C26" s="32"/>
      <c r="D26" s="32"/>
      <c r="E26" s="32"/>
      <c r="F26" s="32"/>
      <c r="G26" s="32"/>
      <c r="H26" s="18"/>
      <c r="I26" s="110">
        <f aca="true" t="shared" si="3" ref="I26:N26">SUM(I27:I29)</f>
        <v>4228</v>
      </c>
      <c r="J26" s="110">
        <f t="shared" si="3"/>
        <v>5166.355621426358</v>
      </c>
      <c r="K26" s="110">
        <f t="shared" si="3"/>
        <v>5251.931269030728</v>
      </c>
      <c r="L26" s="110">
        <f t="shared" si="3"/>
        <v>5307.524521920593</v>
      </c>
      <c r="M26" s="110">
        <f t="shared" si="3"/>
        <v>5363.878894722956</v>
      </c>
      <c r="N26" s="110">
        <f t="shared" si="3"/>
        <v>5421.104881290417</v>
      </c>
    </row>
    <row r="27" spans="2:14" ht="12.75">
      <c r="B27" s="20" t="s">
        <v>1450</v>
      </c>
      <c r="C27" s="128">
        <f>'P,R, BU'!D172</f>
        <v>22745.41918948826</v>
      </c>
      <c r="D27" s="128">
        <f>'P,R, BU'!E172</f>
        <v>23159.861673378025</v>
      </c>
      <c r="E27" s="128">
        <f>'P,R, BU'!F172</f>
        <v>23441.71456242307</v>
      </c>
      <c r="F27" s="128">
        <f>'P,R, BU'!G172</f>
        <v>23727.324156655377</v>
      </c>
      <c r="G27" s="128">
        <f>'P,R, BU'!H172</f>
        <v>24016.740545477453</v>
      </c>
      <c r="H27" s="124">
        <f>E9</f>
        <v>6</v>
      </c>
      <c r="I27" s="110">
        <f>+Bilansi!Q14+Bilansi!Q18+Bilansi!Q17</f>
        <v>4228</v>
      </c>
      <c r="J27" s="110">
        <f>C27/$H$27</f>
        <v>3790.9031982480433</v>
      </c>
      <c r="K27" s="110">
        <f>D27/$H$27</f>
        <v>3859.9769455630044</v>
      </c>
      <c r="L27" s="110">
        <f>E27/$H$27</f>
        <v>3906.9524270705115</v>
      </c>
      <c r="M27" s="110">
        <f>F27/$H$27</f>
        <v>3954.5540261092297</v>
      </c>
      <c r="N27" s="110">
        <f>G27/$H$27</f>
        <v>4002.790090912909</v>
      </c>
    </row>
    <row r="28" spans="2:14" ht="12.75">
      <c r="B28" s="20" t="s">
        <v>153</v>
      </c>
      <c r="C28" s="128">
        <f>'P,R, BU'!D171-'P,R, BU'!D176-'P,R, BU'!D177</f>
        <v>77350.26368096464</v>
      </c>
      <c r="D28" s="128">
        <f>'P,R, BU'!E171-'P,R, BU'!E176-'P,R, BU'!E177</f>
        <v>78326.40489742218</v>
      </c>
      <c r="E28" s="128">
        <f>'P,R, BU'!F171-'P,R, BU'!F176-'P,R, BU'!F177</f>
        <v>78830.41244245924</v>
      </c>
      <c r="F28" s="128">
        <f>'P,R, BU'!G171-'P,R, BU'!G176-'P,R, BU'!G177</f>
        <v>79345.95067693299</v>
      </c>
      <c r="G28" s="128">
        <f>'P,R, BU'!H171-'P,R, BU'!H176-'P,R, BU'!H177</f>
        <v>79873.17049689469</v>
      </c>
      <c r="H28" s="124">
        <f>E10</f>
        <v>90</v>
      </c>
      <c r="I28" s="110">
        <f>+Bilansi!Q15</f>
        <v>0</v>
      </c>
      <c r="J28" s="110">
        <f>C28/$H$28</f>
        <v>859.4473742329404</v>
      </c>
      <c r="K28" s="110">
        <f>D28/$H$28</f>
        <v>870.2933877491354</v>
      </c>
      <c r="L28" s="110">
        <f>E28/$H$28</f>
        <v>875.8934715828805</v>
      </c>
      <c r="M28" s="110">
        <f>F28/$H$28</f>
        <v>881.6216741881443</v>
      </c>
      <c r="N28" s="110">
        <f>G28/$H$28</f>
        <v>887.4796721877187</v>
      </c>
    </row>
    <row r="29" spans="2:14" ht="12.75">
      <c r="B29" s="20" t="s">
        <v>1451</v>
      </c>
      <c r="C29" s="128">
        <f>'P,R, BU'!D171-'P,R, BU'!D176</f>
        <v>92880.90881016737</v>
      </c>
      <c r="D29" s="128">
        <f>'P,R, BU'!E171-'P,R, BU'!E176</f>
        <v>93898.96842934578</v>
      </c>
      <c r="E29" s="128">
        <f>'P,R, BU'!F171-'P,R, BU'!F176</f>
        <v>94442.15218809622</v>
      </c>
      <c r="F29" s="128">
        <f>'P,R, BU'!G171-'P,R, BU'!G176</f>
        <v>94986.57499660482</v>
      </c>
      <c r="G29" s="128">
        <f>'P,R, BU'!H171-'P,R, BU'!H176</f>
        <v>95550.32127416214</v>
      </c>
      <c r="H29" s="124">
        <f>E11</f>
        <v>180</v>
      </c>
      <c r="I29" s="110">
        <f>+Bilansi!Q16</f>
        <v>0</v>
      </c>
      <c r="J29" s="110">
        <f>C29/$H$29</f>
        <v>516.0050489453743</v>
      </c>
      <c r="K29" s="110">
        <f>D29/$H$29</f>
        <v>521.6609357185877</v>
      </c>
      <c r="L29" s="110">
        <f>E29/$H$29</f>
        <v>524.6786232672013</v>
      </c>
      <c r="M29" s="110">
        <f>F29/$H$29</f>
        <v>527.7031944255823</v>
      </c>
      <c r="N29" s="110">
        <f>G29/$H$29</f>
        <v>530.8351181897897</v>
      </c>
    </row>
    <row r="30" spans="2:14" ht="12.75">
      <c r="B30" s="20" t="s">
        <v>1070</v>
      </c>
      <c r="C30" s="128">
        <f>'P,R, BU'!D168+'P,R, BU'!D169</f>
        <v>107141.76900000001</v>
      </c>
      <c r="D30" s="128">
        <f>'P,R, BU'!E168+'P,R, BU'!E169</f>
        <v>109284.60438000002</v>
      </c>
      <c r="E30" s="128">
        <f>'P,R, BU'!F168+'P,R, BU'!F169</f>
        <v>110741.73243840002</v>
      </c>
      <c r="F30" s="128">
        <f>'P,R, BU'!G168+'P,R, BU'!G169</f>
        <v>112218.28887091203</v>
      </c>
      <c r="G30" s="128">
        <f>'P,R, BU'!H168+'P,R, BU'!H169</f>
        <v>113714.5327225242</v>
      </c>
      <c r="H30" s="124">
        <f>E12</f>
        <v>12</v>
      </c>
      <c r="I30" s="110">
        <f>+Bilansi!Q10</f>
        <v>16330</v>
      </c>
      <c r="J30" s="110">
        <f>C30/$H$30</f>
        <v>8928.48075</v>
      </c>
      <c r="K30" s="110">
        <f>D30/$H$30</f>
        <v>9107.050365000001</v>
      </c>
      <c r="L30" s="110">
        <f>E30/$H$30</f>
        <v>9228.477703200002</v>
      </c>
      <c r="M30" s="110">
        <f>F30/$H$30</f>
        <v>9351.524072576003</v>
      </c>
      <c r="N30" s="110">
        <f>G30/$H$30</f>
        <v>9476.211060210351</v>
      </c>
    </row>
    <row r="31" spans="2:14" ht="12.75">
      <c r="B31" s="20" t="s">
        <v>1437</v>
      </c>
      <c r="C31" s="128">
        <f>'P,R, BU'!D171-'P,R, BU'!D176</f>
        <v>92880.90881016737</v>
      </c>
      <c r="D31" s="128">
        <f>'P,R, BU'!E171-'P,R, BU'!E176</f>
        <v>93898.96842934578</v>
      </c>
      <c r="E31" s="128">
        <f>'P,R, BU'!F171-'P,R, BU'!F176</f>
        <v>94442.15218809622</v>
      </c>
      <c r="F31" s="128">
        <f>'P,R, BU'!G171-'P,R, BU'!G176</f>
        <v>94986.57499660482</v>
      </c>
      <c r="G31" s="128">
        <f>'P,R, BU'!H171-'P,R, BU'!H176</f>
        <v>95550.32127416214</v>
      </c>
      <c r="H31" s="124">
        <f>E13</f>
        <v>120</v>
      </c>
      <c r="I31" s="110">
        <f>+Bilansi!Q8</f>
        <v>319</v>
      </c>
      <c r="J31" s="110">
        <f>C31/$H$31</f>
        <v>774.0075734180614</v>
      </c>
      <c r="K31" s="110">
        <f>D31/$H$31</f>
        <v>782.4914035778816</v>
      </c>
      <c r="L31" s="110">
        <f>E31/$H$31</f>
        <v>787.0179349008018</v>
      </c>
      <c r="M31" s="110">
        <f>F31/$H$31</f>
        <v>791.5547916383734</v>
      </c>
      <c r="N31" s="110">
        <f>G31/$H$31</f>
        <v>796.2526772846845</v>
      </c>
    </row>
    <row r="32" spans="2:14" ht="12.75">
      <c r="B32" s="31" t="s">
        <v>1444</v>
      </c>
      <c r="C32" s="32"/>
      <c r="D32" s="32"/>
      <c r="E32" s="32"/>
      <c r="F32" s="32"/>
      <c r="G32" s="32"/>
      <c r="H32" s="129"/>
      <c r="I32" s="18">
        <f aca="true" t="shared" si="4" ref="I32:N32">I33+I34+I35</f>
        <v>17790</v>
      </c>
      <c r="J32" s="18">
        <f t="shared" si="4"/>
        <v>7740.075734180614</v>
      </c>
      <c r="K32" s="18">
        <f t="shared" si="4"/>
        <v>7824.914035778814</v>
      </c>
      <c r="L32" s="18">
        <f t="shared" si="4"/>
        <v>7870.179349008019</v>
      </c>
      <c r="M32" s="18">
        <f t="shared" si="4"/>
        <v>7915.547916383735</v>
      </c>
      <c r="N32" s="18">
        <f t="shared" si="4"/>
        <v>7962.526772846845</v>
      </c>
    </row>
    <row r="33" spans="2:14" ht="12.75">
      <c r="B33" s="20" t="s">
        <v>1071</v>
      </c>
      <c r="C33" s="128">
        <f>'P,R, BU'!D172+'P,R, BU'!D173+'P,R, BU'!D175</f>
        <v>53152.426280964646</v>
      </c>
      <c r="D33" s="128">
        <f>'P,R, BU'!E172+'P,R, BU'!E173+'P,R, BU'!E175</f>
        <v>54138.24663238217</v>
      </c>
      <c r="E33" s="128">
        <f>'P,R, BU'!F172+'P,R, BU'!F173+'P,R, BU'!F175</f>
        <v>54809.95874139019</v>
      </c>
      <c r="F33" s="128">
        <f>'P,R, BU'!G172+'P,R, BU'!G173+'P,R, BU'!G175</f>
        <v>55492.03878819134</v>
      </c>
      <c r="G33" s="128">
        <f>'P,R, BU'!H172+'P,R, BU'!H173+'P,R, BU'!H175</f>
        <v>56184.645730581644</v>
      </c>
      <c r="H33" s="124">
        <f>E14</f>
        <v>12</v>
      </c>
      <c r="I33" s="110">
        <f>+Bilansi!Q51</f>
        <v>9762</v>
      </c>
      <c r="J33" s="110">
        <f>C33/$H$33</f>
        <v>4429.3688567470535</v>
      </c>
      <c r="K33" s="110">
        <f>D33/$H$33</f>
        <v>4511.520552698515</v>
      </c>
      <c r="L33" s="110">
        <f>E33/$H$33</f>
        <v>4567.4965617825155</v>
      </c>
      <c r="M33" s="110">
        <f>F33/$H$33</f>
        <v>4624.336565682612</v>
      </c>
      <c r="N33" s="110">
        <f>G33/$H$33</f>
        <v>4682.053810881804</v>
      </c>
    </row>
    <row r="34" spans="2:14" ht="12.75">
      <c r="B34" s="20" t="s">
        <v>1443</v>
      </c>
      <c r="C34" s="128">
        <f>'P,R, BU'!D174</f>
        <v>24197.837399999997</v>
      </c>
      <c r="D34" s="128">
        <f>'P,R, BU'!E174</f>
        <v>24188.158265039998</v>
      </c>
      <c r="E34" s="128">
        <f>'P,R, BU'!F174</f>
        <v>24020.45370106906</v>
      </c>
      <c r="F34" s="128">
        <f>'P,R, BU'!G174</f>
        <v>23853.911888741648</v>
      </c>
      <c r="G34" s="128">
        <f>'P,R, BU'!H174</f>
        <v>23688.52476631304</v>
      </c>
      <c r="H34" s="124">
        <f>E15</f>
        <v>12</v>
      </c>
      <c r="I34" s="110">
        <f>+Bilansi!Q52</f>
        <v>1891</v>
      </c>
      <c r="J34" s="110">
        <f>C34/$H$34</f>
        <v>2016.4864499999996</v>
      </c>
      <c r="K34" s="110">
        <f>D34/$H$34</f>
        <v>2015.6798554199997</v>
      </c>
      <c r="L34" s="110">
        <f>E34/$H$34</f>
        <v>2001.7044750890882</v>
      </c>
      <c r="M34" s="110">
        <f>F34/$H$34</f>
        <v>1987.8259907284707</v>
      </c>
      <c r="N34" s="110">
        <f>G34/$H$34</f>
        <v>1974.0437305260866</v>
      </c>
    </row>
    <row r="35" spans="2:14" ht="12.75">
      <c r="B35" s="20" t="s">
        <v>154</v>
      </c>
      <c r="C35" s="128">
        <f>'P,R, BU'!D177</f>
        <v>15530.645129202734</v>
      </c>
      <c r="D35" s="128">
        <f>'P,R, BU'!E177</f>
        <v>15572.563531923599</v>
      </c>
      <c r="E35" s="128">
        <f>'P,R, BU'!F177</f>
        <v>15611.73974563698</v>
      </c>
      <c r="F35" s="128">
        <f>'P,R, BU'!G177</f>
        <v>15640.624319671835</v>
      </c>
      <c r="G35" s="128">
        <f>'P,R, BU'!H177</f>
        <v>15677.15077726746</v>
      </c>
      <c r="H35" s="124">
        <f>E16</f>
        <v>12</v>
      </c>
      <c r="I35" s="110">
        <f>+Bilansi!Q53</f>
        <v>6137</v>
      </c>
      <c r="J35" s="110">
        <f>C35/$H$35</f>
        <v>1294.220427433561</v>
      </c>
      <c r="K35" s="110">
        <f>D35/$H$35</f>
        <v>1297.7136276602998</v>
      </c>
      <c r="L35" s="110">
        <f>E35/$H$35</f>
        <v>1300.978312136415</v>
      </c>
      <c r="M35" s="110">
        <f>F35/$H$35</f>
        <v>1303.3853599726529</v>
      </c>
      <c r="N35" s="110">
        <f>G35/$H$35</f>
        <v>1306.429231438955</v>
      </c>
    </row>
    <row r="36" spans="2:14" ht="12.75">
      <c r="B36" s="31" t="s">
        <v>1445</v>
      </c>
      <c r="C36" s="32"/>
      <c r="D36" s="32"/>
      <c r="E36" s="32"/>
      <c r="F36" s="32"/>
      <c r="G36" s="32"/>
      <c r="H36" s="18"/>
      <c r="I36" s="18">
        <f aca="true" t="shared" si="5" ref="I36:N36">I25-I32</f>
        <v>3087</v>
      </c>
      <c r="J36" s="18">
        <f t="shared" si="5"/>
        <v>7128.768210663805</v>
      </c>
      <c r="K36" s="18">
        <f t="shared" si="5"/>
        <v>7316.559001829798</v>
      </c>
      <c r="L36" s="18">
        <f t="shared" si="5"/>
        <v>7452.840811013378</v>
      </c>
      <c r="M36" s="18">
        <f t="shared" si="5"/>
        <v>7591.409842553598</v>
      </c>
      <c r="N36" s="18">
        <f t="shared" si="5"/>
        <v>7731.041845938608</v>
      </c>
    </row>
    <row r="37" spans="2:14" ht="12.75">
      <c r="B37" s="31" t="s">
        <v>1446</v>
      </c>
      <c r="C37" s="32"/>
      <c r="D37" s="32"/>
      <c r="E37" s="32"/>
      <c r="F37" s="32"/>
      <c r="G37" s="32"/>
      <c r="H37" s="18"/>
      <c r="I37" s="18"/>
      <c r="J37" s="18">
        <f>+J36-I36</f>
        <v>4041.768210663805</v>
      </c>
      <c r="K37" s="18">
        <f>K36-J36</f>
        <v>187.79079116599314</v>
      </c>
      <c r="L37" s="18">
        <f>L36-K36</f>
        <v>136.28180918357975</v>
      </c>
      <c r="M37" s="18">
        <f>M36-L36</f>
        <v>138.56903154021984</v>
      </c>
      <c r="N37" s="18">
        <f>N36-M36</f>
        <v>139.63200338501065</v>
      </c>
    </row>
    <row r="38" spans="2:14" ht="13.5" thickBo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ht="13.5" thickTop="1"/>
    <row r="40" ht="12.75">
      <c r="B40" s="1"/>
    </row>
    <row r="41" ht="13.5" thickBot="1">
      <c r="B41" s="1" t="s">
        <v>1452</v>
      </c>
    </row>
    <row r="42" spans="2:7" ht="13.5" thickTop="1">
      <c r="B42" s="51" t="s">
        <v>1441</v>
      </c>
      <c r="C42" s="994" t="s">
        <v>1453</v>
      </c>
      <c r="D42" s="994"/>
      <c r="E42" s="994"/>
      <c r="F42" s="994"/>
      <c r="G42" s="994"/>
    </row>
    <row r="43" spans="2:7" ht="13.5" thickBot="1">
      <c r="B43" s="17"/>
      <c r="C43" s="52" t="s">
        <v>1400</v>
      </c>
      <c r="D43" s="52" t="s">
        <v>1401</v>
      </c>
      <c r="E43" s="52" t="s">
        <v>1402</v>
      </c>
      <c r="F43" s="52" t="s">
        <v>1403</v>
      </c>
      <c r="G43" s="52" t="s">
        <v>1404</v>
      </c>
    </row>
    <row r="44" spans="2:7" ht="13.5" thickTop="1">
      <c r="B44" s="119"/>
      <c r="C44" s="119"/>
      <c r="D44" s="119"/>
      <c r="E44" s="119"/>
      <c r="F44" s="119"/>
      <c r="G44" s="119"/>
    </row>
    <row r="45" spans="2:7" ht="12.75">
      <c r="B45" s="31" t="s">
        <v>1417</v>
      </c>
      <c r="C45" s="31"/>
      <c r="D45" s="31"/>
      <c r="E45" s="31"/>
      <c r="F45" s="31"/>
      <c r="G45" s="31"/>
    </row>
    <row r="46" spans="2:7" ht="12.75">
      <c r="B46" s="20" t="s">
        <v>1414</v>
      </c>
      <c r="C46" s="110">
        <f>SUM(C47:C48)</f>
        <v>10729.544324289443</v>
      </c>
      <c r="D46" s="110">
        <f>SUM(D47:D48)</f>
        <v>10810.697850210518</v>
      </c>
      <c r="E46" s="110">
        <f>SUM(E47:E48)</f>
        <v>10892.46518549482</v>
      </c>
      <c r="F46" s="110">
        <f>SUM(F47:F48)</f>
        <v>10974.850972724793</v>
      </c>
      <c r="G46" s="110">
        <f>SUM(G47:G48)</f>
        <v>11057.859889597312</v>
      </c>
    </row>
    <row r="47" spans="2:7" ht="12.75">
      <c r="B47" s="20" t="s">
        <v>1054</v>
      </c>
      <c r="C47" s="110">
        <f>+'P,R, BU'!C122</f>
        <v>10649</v>
      </c>
      <c r="D47" s="110">
        <f>+'P,R, BU'!D122</f>
        <v>10649</v>
      </c>
      <c r="E47" s="110">
        <f>+'P,R, BU'!E122</f>
        <v>10649</v>
      </c>
      <c r="F47" s="110">
        <f>+'P,R, BU'!F122</f>
        <v>10649</v>
      </c>
      <c r="G47" s="110">
        <f>+'P,R, BU'!G122</f>
        <v>10649</v>
      </c>
    </row>
    <row r="48" spans="2:16" ht="12.75">
      <c r="B48" s="20" t="s">
        <v>1457</v>
      </c>
      <c r="C48" s="110">
        <f>+'P,R, BU'!C124</f>
        <v>80.54432428944332</v>
      </c>
      <c r="D48" s="110">
        <f>+'P,R, BU'!D124</f>
        <v>161.69785021051808</v>
      </c>
      <c r="E48" s="110">
        <f>+'P,R, BU'!E124</f>
        <v>243.46518549482118</v>
      </c>
      <c r="F48" s="110">
        <f>+'P,R, BU'!F124</f>
        <v>325.85097272479265</v>
      </c>
      <c r="G48" s="110">
        <f>+'P,R, BU'!G124</f>
        <v>408.85988959731196</v>
      </c>
      <c r="J48" s="130"/>
      <c r="K48" s="130"/>
      <c r="L48" s="130"/>
      <c r="M48" s="130"/>
      <c r="N48" s="130"/>
      <c r="O48" s="130"/>
      <c r="P48" s="130"/>
    </row>
    <row r="49" spans="2:16" ht="12.75">
      <c r="B49" s="20" t="s">
        <v>1454</v>
      </c>
      <c r="C49" s="110">
        <f>+Bilansi!Q29+C48</f>
        <v>8478.544324289443</v>
      </c>
      <c r="D49" s="110">
        <f>+D46-D50</f>
        <v>8559.697850210518</v>
      </c>
      <c r="E49" s="110">
        <f>+E46-E50</f>
        <v>8641.46518549482</v>
      </c>
      <c r="F49" s="110">
        <f>+F46-F50</f>
        <v>8723.850972724793</v>
      </c>
      <c r="G49" s="110">
        <f>+G46-G50</f>
        <v>8806.859889597312</v>
      </c>
      <c r="J49" s="130">
        <v>77901</v>
      </c>
      <c r="K49" s="130">
        <v>-3381</v>
      </c>
      <c r="L49" s="130">
        <f>+J49+K49</f>
        <v>74520</v>
      </c>
      <c r="M49" s="130"/>
      <c r="N49" s="130"/>
      <c r="O49" s="130"/>
      <c r="P49" s="130"/>
    </row>
    <row r="50" spans="2:16" ht="12.75">
      <c r="B50" s="20" t="s">
        <v>155</v>
      </c>
      <c r="C50" s="110">
        <f>C46-C49</f>
        <v>2251</v>
      </c>
      <c r="D50" s="110">
        <f>+C50</f>
        <v>2251</v>
      </c>
      <c r="E50" s="110">
        <f>+D50</f>
        <v>2251</v>
      </c>
      <c r="F50" s="110">
        <f>+E50</f>
        <v>2251</v>
      </c>
      <c r="G50" s="110">
        <f>+F50</f>
        <v>2251</v>
      </c>
      <c r="J50" s="130">
        <v>59953</v>
      </c>
      <c r="K50" s="130">
        <v>-10273</v>
      </c>
      <c r="L50" s="130">
        <f>+J50+K50</f>
        <v>49680</v>
      </c>
      <c r="M50" s="130"/>
      <c r="N50" s="130"/>
      <c r="O50" s="130"/>
      <c r="P50" s="130"/>
    </row>
    <row r="51" spans="2:16" ht="12.75">
      <c r="B51" s="31" t="s">
        <v>1418</v>
      </c>
      <c r="C51" s="18"/>
      <c r="D51" s="18"/>
      <c r="E51" s="18"/>
      <c r="F51" s="18"/>
      <c r="G51" s="18"/>
      <c r="J51" s="130">
        <f>+J50+J49</f>
        <v>137854</v>
      </c>
      <c r="K51" s="130">
        <f>+K50+K49</f>
        <v>-13654</v>
      </c>
      <c r="L51" s="130">
        <f>+J51+K51</f>
        <v>124200</v>
      </c>
      <c r="M51" s="130"/>
      <c r="N51" s="130"/>
      <c r="O51" s="130"/>
      <c r="P51" s="130"/>
    </row>
    <row r="52" spans="2:16" ht="12.75">
      <c r="B52" s="20" t="s">
        <v>1414</v>
      </c>
      <c r="C52" s="110">
        <f>SUM(C53:C54)</f>
        <v>134648.41319403323</v>
      </c>
      <c r="D52" s="110">
        <f>SUM(D53:D54)</f>
        <v>144048.2049838005</v>
      </c>
      <c r="E52" s="110">
        <f>SUM(E53:E54)</f>
        <v>154104.19526558902</v>
      </c>
      <c r="F52" s="110">
        <f>SUM(F53:F54)</f>
        <v>164862.19318821415</v>
      </c>
      <c r="G52" s="110">
        <f>SUM(G53:G54)</f>
        <v>176371.20583242906</v>
      </c>
      <c r="J52" s="130"/>
      <c r="K52" s="130"/>
      <c r="L52" s="130"/>
      <c r="M52" s="130"/>
      <c r="N52" s="130"/>
      <c r="O52" s="130"/>
      <c r="P52" s="130"/>
    </row>
    <row r="53" spans="2:16" ht="12.75">
      <c r="B53" s="20" t="s">
        <v>1058</v>
      </c>
      <c r="C53" s="110">
        <f>+'P,R, BU'!C129</f>
        <v>125862</v>
      </c>
      <c r="D53" s="110">
        <f>+'P,R, BU'!D129</f>
        <v>125862</v>
      </c>
      <c r="E53" s="110">
        <f>+'P,R, BU'!E129</f>
        <v>125862</v>
      </c>
      <c r="F53" s="110">
        <f>+'P,R, BU'!F129</f>
        <v>125862</v>
      </c>
      <c r="G53" s="110">
        <f>+'P,R, BU'!G129</f>
        <v>125862</v>
      </c>
      <c r="J53" s="130"/>
      <c r="K53" s="130"/>
      <c r="L53" s="130"/>
      <c r="M53" s="130"/>
      <c r="N53" s="130"/>
      <c r="O53" s="130"/>
      <c r="P53" s="130"/>
    </row>
    <row r="54" spans="2:7" ht="12.75">
      <c r="B54" s="20" t="s">
        <v>1457</v>
      </c>
      <c r="C54" s="110">
        <f>+'P,R, BU'!C131</f>
        <v>8786.413194033219</v>
      </c>
      <c r="D54" s="110">
        <f>+'P,R, BU'!D131</f>
        <v>18186.204983800504</v>
      </c>
      <c r="E54" s="110">
        <f>+'P,R, BU'!E131</f>
        <v>28242.19526558902</v>
      </c>
      <c r="F54" s="110">
        <f>+'P,R, BU'!F131</f>
        <v>39000.19318821414</v>
      </c>
      <c r="G54" s="110">
        <f>+'P,R, BU'!G131</f>
        <v>50509.20583242906</v>
      </c>
    </row>
    <row r="55" spans="2:7" ht="12.75">
      <c r="B55" s="20" t="s">
        <v>1454</v>
      </c>
      <c r="C55" s="110">
        <f>+Bilansi!Q32+C54</f>
        <v>117340.41319403322</v>
      </c>
      <c r="D55" s="110">
        <f>+D52-D56</f>
        <v>126740.20498380049</v>
      </c>
      <c r="E55" s="110">
        <f>+E52-E56</f>
        <v>136796.195265589</v>
      </c>
      <c r="F55" s="110">
        <f>+F52-F56</f>
        <v>147554.19318821415</v>
      </c>
      <c r="G55" s="110">
        <f>+G52-G56</f>
        <v>159063.20583242906</v>
      </c>
    </row>
    <row r="56" spans="2:7" ht="12.75">
      <c r="B56" s="20" t="s">
        <v>155</v>
      </c>
      <c r="C56" s="110">
        <f>C52-C55</f>
        <v>17308.000000000015</v>
      </c>
      <c r="D56" s="110">
        <f>+C56</f>
        <v>17308.000000000015</v>
      </c>
      <c r="E56" s="110">
        <f>+D56</f>
        <v>17308.000000000015</v>
      </c>
      <c r="F56" s="110">
        <f>+E56</f>
        <v>17308.000000000015</v>
      </c>
      <c r="G56" s="110">
        <f>+F56</f>
        <v>17308.000000000015</v>
      </c>
    </row>
    <row r="57" spans="2:9" ht="12.75">
      <c r="B57" s="31" t="s">
        <v>1060</v>
      </c>
      <c r="C57" s="18"/>
      <c r="D57" s="18"/>
      <c r="E57" s="18"/>
      <c r="F57" s="18"/>
      <c r="G57" s="18"/>
      <c r="H57" s="8"/>
      <c r="I57" s="8"/>
    </row>
    <row r="58" spans="2:7" ht="12.75">
      <c r="B58" s="20" t="s">
        <v>156</v>
      </c>
      <c r="C58" s="110">
        <f>+Bilansi!Q33</f>
        <v>19472</v>
      </c>
      <c r="D58" s="110">
        <f>+C58</f>
        <v>19472</v>
      </c>
      <c r="E58" s="110">
        <f>+D58</f>
        <v>19472</v>
      </c>
      <c r="F58" s="110">
        <f>+E58</f>
        <v>19472</v>
      </c>
      <c r="G58" s="110">
        <f>+F58</f>
        <v>19472</v>
      </c>
    </row>
    <row r="59" spans="2:7" ht="12.75">
      <c r="B59" s="31" t="s">
        <v>14</v>
      </c>
      <c r="C59" s="110"/>
      <c r="D59" s="110"/>
      <c r="E59" s="110"/>
      <c r="F59" s="110"/>
      <c r="G59" s="110"/>
    </row>
    <row r="60" spans="2:7" ht="12.75">
      <c r="B60" s="20" t="s">
        <v>156</v>
      </c>
      <c r="C60" s="110">
        <f>Bilansi!Q34</f>
        <v>0</v>
      </c>
      <c r="D60" s="110">
        <f>C60</f>
        <v>0</v>
      </c>
      <c r="E60" s="110">
        <f>D60</f>
        <v>0</v>
      </c>
      <c r="F60" s="110">
        <f>E60</f>
        <v>0</v>
      </c>
      <c r="G60" s="110">
        <f>F60</f>
        <v>0</v>
      </c>
    </row>
    <row r="61" spans="2:9" ht="12.75">
      <c r="B61" s="31" t="s">
        <v>1455</v>
      </c>
      <c r="C61" s="18">
        <f>C46+C52+C58+C60</f>
        <v>164849.95751832268</v>
      </c>
      <c r="D61" s="18">
        <f>D46+D52+D58+D60</f>
        <v>174330.902834011</v>
      </c>
      <c r="E61" s="18">
        <f>E46+E52+E58+E60</f>
        <v>184468.66045108385</v>
      </c>
      <c r="F61" s="18">
        <f>F46+F52+F58+F60</f>
        <v>195309.04416093894</v>
      </c>
      <c r="G61" s="18">
        <f>G46+G52+G58+G60</f>
        <v>206901.06572202637</v>
      </c>
      <c r="H61" s="8"/>
      <c r="I61" s="8"/>
    </row>
    <row r="62" spans="2:9" ht="12.75">
      <c r="B62" s="31" t="s">
        <v>1456</v>
      </c>
      <c r="C62" s="18">
        <f>C49+C55</f>
        <v>125818.95751832266</v>
      </c>
      <c r="D62" s="18">
        <f>D49+D55</f>
        <v>135299.902834011</v>
      </c>
      <c r="E62" s="18">
        <f>E49+E55</f>
        <v>145437.66045108382</v>
      </c>
      <c r="F62" s="18">
        <f>F49+F55</f>
        <v>156278.04416093894</v>
      </c>
      <c r="G62" s="18">
        <f>G49+G55</f>
        <v>167870.06572202637</v>
      </c>
      <c r="H62" s="8"/>
      <c r="I62" s="8"/>
    </row>
    <row r="63" spans="2:9" ht="13.5" thickBot="1">
      <c r="B63" s="17" t="s">
        <v>1050</v>
      </c>
      <c r="C63" s="5">
        <f>C50+C56+C58</f>
        <v>39031.000000000015</v>
      </c>
      <c r="D63" s="5">
        <f>D50+D56+D58</f>
        <v>39031.000000000015</v>
      </c>
      <c r="E63" s="5">
        <f>E50+E56+E58</f>
        <v>39031.000000000015</v>
      </c>
      <c r="F63" s="5">
        <f>F50+F56+F58</f>
        <v>39031.000000000015</v>
      </c>
      <c r="G63" s="5">
        <f>G50+G56+G58</f>
        <v>39031.000000000015</v>
      </c>
      <c r="H63" s="8"/>
      <c r="I63" s="8"/>
    </row>
    <row r="64" ht="13.5" thickTop="1"/>
    <row r="65" ht="13.5" thickBot="1">
      <c r="B65" s="1" t="s">
        <v>1061</v>
      </c>
    </row>
    <row r="66" spans="2:7" ht="13.5" thickTop="1">
      <c r="B66" s="51" t="s">
        <v>1441</v>
      </c>
      <c r="C66" s="994" t="s">
        <v>1453</v>
      </c>
      <c r="D66" s="994"/>
      <c r="E66" s="994"/>
      <c r="F66" s="994"/>
      <c r="G66" s="994"/>
    </row>
    <row r="67" spans="2:7" ht="13.5" thickBot="1">
      <c r="B67" s="17"/>
      <c r="C67" s="52" t="s">
        <v>1400</v>
      </c>
      <c r="D67" s="52" t="s">
        <v>1401</v>
      </c>
      <c r="E67" s="52" t="s">
        <v>1402</v>
      </c>
      <c r="F67" s="52" t="s">
        <v>1403</v>
      </c>
      <c r="G67" s="52" t="s">
        <v>1404</v>
      </c>
    </row>
    <row r="68" spans="2:7" ht="13.5" thickTop="1">
      <c r="B68" s="119"/>
      <c r="C68" s="119"/>
      <c r="D68" s="119"/>
      <c r="E68" s="119"/>
      <c r="F68" s="119"/>
      <c r="G68" s="119"/>
    </row>
    <row r="69" spans="2:7" ht="12.75">
      <c r="B69" s="31" t="s">
        <v>1065</v>
      </c>
      <c r="C69" s="31"/>
      <c r="D69" s="31"/>
      <c r="E69" s="31"/>
      <c r="F69" s="31"/>
      <c r="G69" s="31"/>
    </row>
    <row r="70" spans="2:7" ht="12.75">
      <c r="B70" s="20" t="s">
        <v>1062</v>
      </c>
      <c r="C70" s="32">
        <f>+Bilansi!Q50</f>
        <v>0</v>
      </c>
      <c r="D70" s="32">
        <f>+C72</f>
        <v>0</v>
      </c>
      <c r="E70" s="32">
        <f>+D72</f>
        <v>0</v>
      </c>
      <c r="F70" s="32">
        <f>+E72</f>
        <v>0</v>
      </c>
      <c r="G70" s="32">
        <f>+F72</f>
        <v>0</v>
      </c>
    </row>
    <row r="71" spans="2:7" ht="12.75">
      <c r="B71" s="20" t="s">
        <v>327</v>
      </c>
      <c r="C71" s="32"/>
      <c r="D71" s="32"/>
      <c r="E71" s="32"/>
      <c r="F71" s="32"/>
      <c r="G71" s="32"/>
    </row>
    <row r="72" spans="2:7" ht="12.75">
      <c r="B72" s="20" t="s">
        <v>1059</v>
      </c>
      <c r="C72" s="32">
        <f>+C70-(C70*Meni!C17)</f>
        <v>0</v>
      </c>
      <c r="D72" s="32">
        <f>+D70-(D70*Meni!D17)</f>
        <v>0</v>
      </c>
      <c r="E72" s="32">
        <f>+E70-(E70*Meni!E17)</f>
        <v>0</v>
      </c>
      <c r="F72" s="32">
        <f>+F70-(F70*Meni!F17)</f>
        <v>0</v>
      </c>
      <c r="G72" s="32">
        <f>+G70-(G70*Meni!G17)</f>
        <v>0</v>
      </c>
    </row>
    <row r="73" spans="2:7" ht="12.75">
      <c r="B73" s="20" t="s">
        <v>328</v>
      </c>
      <c r="C73" s="32">
        <f>'PB stanja'!D26</f>
        <v>0</v>
      </c>
      <c r="D73" s="32">
        <f>'PB stanja'!E26</f>
        <v>0</v>
      </c>
      <c r="E73" s="32">
        <f>'PB stanja'!F26</f>
        <v>0</v>
      </c>
      <c r="F73" s="32">
        <f>'PB stanja'!G26</f>
        <v>0</v>
      </c>
      <c r="G73" s="32">
        <f>'PB stanja'!H26</f>
        <v>0</v>
      </c>
    </row>
    <row r="74" spans="2:7" ht="12.75">
      <c r="B74" s="20"/>
      <c r="C74" s="32"/>
      <c r="D74" s="32"/>
      <c r="E74" s="31"/>
      <c r="F74" s="31"/>
      <c r="G74" s="31"/>
    </row>
    <row r="75" spans="2:7" ht="12.75">
      <c r="B75" s="31" t="s">
        <v>1066</v>
      </c>
      <c r="C75" s="31"/>
      <c r="D75" s="31"/>
      <c r="E75" s="31"/>
      <c r="F75" s="31"/>
      <c r="G75" s="31"/>
    </row>
    <row r="76" spans="2:7" ht="12.75">
      <c r="B76" s="20" t="s">
        <v>1063</v>
      </c>
      <c r="C76" s="32">
        <f>+Bilansi!Q55</f>
        <v>0</v>
      </c>
      <c r="D76" s="32">
        <f>+C78</f>
        <v>0</v>
      </c>
      <c r="E76" s="32">
        <f>+D78</f>
        <v>0</v>
      </c>
      <c r="F76" s="32">
        <f>+E78</f>
        <v>0</v>
      </c>
      <c r="G76" s="32">
        <f>+F78</f>
        <v>0</v>
      </c>
    </row>
    <row r="77" spans="2:7" ht="12.75">
      <c r="B77" s="20" t="s">
        <v>1051</v>
      </c>
      <c r="C77" s="32">
        <f>+C76*Meni!C20</f>
        <v>0</v>
      </c>
      <c r="D77" s="32">
        <f>+D76*Meni!D20</f>
        <v>0</v>
      </c>
      <c r="E77" s="32">
        <f>+E76*Meni!E20</f>
        <v>0</v>
      </c>
      <c r="F77" s="32">
        <f>+F76*Meni!F20</f>
        <v>0</v>
      </c>
      <c r="G77" s="32">
        <f>+G76*Meni!G20</f>
        <v>0</v>
      </c>
    </row>
    <row r="78" spans="2:7" ht="13.5" thickBot="1">
      <c r="B78" s="23" t="s">
        <v>1458</v>
      </c>
      <c r="C78" s="131">
        <f>+C76-C77</f>
        <v>0</v>
      </c>
      <c r="D78" s="131">
        <f>+D76-D77</f>
        <v>0</v>
      </c>
      <c r="E78" s="131">
        <f>+E76-E77</f>
        <v>0</v>
      </c>
      <c r="F78" s="131">
        <f>+F76-F77</f>
        <v>0</v>
      </c>
      <c r="G78" s="131">
        <f>+G76-G77</f>
        <v>0</v>
      </c>
    </row>
    <row r="79" ht="13.5" thickTop="1"/>
    <row r="81" ht="13.5" thickBot="1">
      <c r="B81" s="1" t="s">
        <v>1064</v>
      </c>
    </row>
    <row r="82" spans="2:7" ht="13.5" thickTop="1">
      <c r="B82" s="51" t="s">
        <v>1441</v>
      </c>
      <c r="C82" s="994" t="s">
        <v>1453</v>
      </c>
      <c r="D82" s="994"/>
      <c r="E82" s="994"/>
      <c r="F82" s="994"/>
      <c r="G82" s="994"/>
    </row>
    <row r="83" spans="2:7" ht="13.5" thickBot="1">
      <c r="B83" s="17"/>
      <c r="C83" s="52" t="s">
        <v>1400</v>
      </c>
      <c r="D83" s="52" t="s">
        <v>1401</v>
      </c>
      <c r="E83" s="52" t="s">
        <v>1402</v>
      </c>
      <c r="F83" s="52" t="s">
        <v>1403</v>
      </c>
      <c r="G83" s="52" t="s">
        <v>1404</v>
      </c>
    </row>
    <row r="84" spans="2:7" ht="13.5" thickTop="1">
      <c r="B84" s="119"/>
      <c r="C84" s="119"/>
      <c r="D84" s="119"/>
      <c r="E84" s="119"/>
      <c r="F84" s="119"/>
      <c r="G84" s="119"/>
    </row>
    <row r="85" spans="2:7" ht="12.75">
      <c r="B85" s="20" t="s">
        <v>1067</v>
      </c>
      <c r="C85" s="20">
        <v>0</v>
      </c>
      <c r="D85" s="20">
        <f aca="true" t="shared" si="6" ref="D85:G87">+C85</f>
        <v>0</v>
      </c>
      <c r="E85" s="20">
        <f t="shared" si="6"/>
        <v>0</v>
      </c>
      <c r="F85" s="20">
        <f t="shared" si="6"/>
        <v>0</v>
      </c>
      <c r="G85" s="20">
        <f t="shared" si="6"/>
        <v>0</v>
      </c>
    </row>
    <row r="86" spans="2:7" ht="12.75">
      <c r="B86" s="20" t="s">
        <v>278</v>
      </c>
      <c r="C86" s="110">
        <f>Bilansi!Q19</f>
        <v>0</v>
      </c>
      <c r="D86" s="110">
        <f t="shared" si="6"/>
        <v>0</v>
      </c>
      <c r="E86" s="110">
        <f t="shared" si="6"/>
        <v>0</v>
      </c>
      <c r="F86" s="110">
        <f t="shared" si="6"/>
        <v>0</v>
      </c>
      <c r="G86" s="110">
        <f t="shared" si="6"/>
        <v>0</v>
      </c>
    </row>
    <row r="87" spans="2:7" ht="12.75">
      <c r="B87" s="20" t="s">
        <v>279</v>
      </c>
      <c r="C87" s="110">
        <f>Bilansi!Q54</f>
        <v>0</v>
      </c>
      <c r="D87" s="110">
        <f t="shared" si="6"/>
        <v>0</v>
      </c>
      <c r="E87" s="110">
        <f t="shared" si="6"/>
        <v>0</v>
      </c>
      <c r="F87" s="110">
        <f t="shared" si="6"/>
        <v>0</v>
      </c>
      <c r="G87" s="110">
        <f t="shared" si="6"/>
        <v>0</v>
      </c>
    </row>
    <row r="88" spans="2:7" ht="13.5" thickBot="1">
      <c r="B88" s="23" t="s">
        <v>86</v>
      </c>
      <c r="C88" s="58">
        <f>Bilansi!Q36</f>
        <v>7193</v>
      </c>
      <c r="D88" s="58">
        <f>+C88</f>
        <v>7193</v>
      </c>
      <c r="E88" s="58">
        <f>+D88</f>
        <v>7193</v>
      </c>
      <c r="F88" s="58">
        <f>+E88</f>
        <v>7193</v>
      </c>
      <c r="G88" s="58">
        <f>+F88</f>
        <v>7193</v>
      </c>
    </row>
    <row r="89" spans="2:7" ht="13.5" thickTop="1">
      <c r="B89" s="31"/>
      <c r="C89" s="31"/>
      <c r="D89" s="31"/>
      <c r="E89" s="31"/>
      <c r="F89" s="31"/>
      <c r="G89" s="31"/>
    </row>
    <row r="90" spans="2:7" ht="12.75">
      <c r="B90" s="20"/>
      <c r="C90" s="31"/>
      <c r="D90" s="31"/>
      <c r="E90" s="31"/>
      <c r="F90" s="31"/>
      <c r="G90" s="31"/>
    </row>
    <row r="91" spans="2:7" ht="12.75">
      <c r="B91" s="20"/>
      <c r="C91" s="31"/>
      <c r="D91" s="31"/>
      <c r="E91" s="31"/>
      <c r="F91" s="31"/>
      <c r="G91" s="31"/>
    </row>
    <row r="92" spans="2:7" ht="12.75">
      <c r="B92" s="20"/>
      <c r="C92" s="20"/>
      <c r="D92" s="20"/>
      <c r="E92" s="20"/>
      <c r="F92" s="20"/>
      <c r="G92" s="20"/>
    </row>
  </sheetData>
  <sheetProtection/>
  <mergeCells count="5">
    <mergeCell ref="C82:G82"/>
    <mergeCell ref="C22:G22"/>
    <mergeCell ref="J22:N22"/>
    <mergeCell ref="C42:G42"/>
    <mergeCell ref="C66:G66"/>
  </mergeCells>
  <printOptions horizontalCentered="1" verticalCentered="1"/>
  <pageMargins left="0.17" right="0.18" top="1" bottom="1" header="0.5" footer="0.5"/>
  <pageSetup fitToHeight="1" fitToWidth="1" horizontalDpi="120" verticalDpi="12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G35"/>
  <sheetViews>
    <sheetView zoomScalePageLayoutView="0" workbookViewId="0" topLeftCell="A17">
      <selection activeCell="C35" sqref="C35"/>
    </sheetView>
  </sheetViews>
  <sheetFormatPr defaultColWidth="9.140625" defaultRowHeight="12.75"/>
  <cols>
    <col min="1" max="1" width="9.140625" style="2" customWidth="1"/>
    <col min="2" max="2" width="36.421875" style="2" customWidth="1"/>
    <col min="3" max="16384" width="9.140625" style="2" customWidth="1"/>
  </cols>
  <sheetData>
    <row r="3" ht="12.75">
      <c r="B3" s="1" t="s">
        <v>1072</v>
      </c>
    </row>
    <row r="5" spans="2:7" ht="12.75">
      <c r="B5" s="468" t="s">
        <v>1441</v>
      </c>
      <c r="C5" s="998" t="s">
        <v>1453</v>
      </c>
      <c r="D5" s="998"/>
      <c r="E5" s="998"/>
      <c r="F5" s="998"/>
      <c r="G5" s="998"/>
    </row>
    <row r="6" spans="2:7" ht="12.75">
      <c r="B6" s="419"/>
      <c r="C6" s="468" t="s">
        <v>1400</v>
      </c>
      <c r="D6" s="468" t="s">
        <v>1401</v>
      </c>
      <c r="E6" s="468" t="s">
        <v>1402</v>
      </c>
      <c r="F6" s="468" t="s">
        <v>1403</v>
      </c>
      <c r="G6" s="468" t="s">
        <v>1404</v>
      </c>
    </row>
    <row r="7" spans="2:7" ht="12.75">
      <c r="B7" s="418"/>
      <c r="C7" s="418"/>
      <c r="D7" s="418"/>
      <c r="E7" s="418"/>
      <c r="F7" s="418"/>
      <c r="G7" s="418"/>
    </row>
    <row r="8" spans="2:7" ht="12.75">
      <c r="B8" s="419" t="s">
        <v>1360</v>
      </c>
      <c r="C8" s="417">
        <f>+'P,R, BU'!D178</f>
        <v>6161.435053627385</v>
      </c>
      <c r="D8" s="417">
        <f>+'P,R, BU'!E178</f>
        <v>6687.573664725642</v>
      </c>
      <c r="E8" s="417">
        <f>+'P,R, BU'!F178</f>
        <v>6955.144103387531</v>
      </c>
      <c r="F8" s="417">
        <f>+'P,R, BU'!G178</f>
        <v>7195.229254210775</v>
      </c>
      <c r="G8" s="417">
        <f>+'P,R, BU'!H178</f>
        <v>7386.807631563381</v>
      </c>
    </row>
    <row r="9" spans="2:7" ht="12.75">
      <c r="B9" s="469" t="s">
        <v>1459</v>
      </c>
      <c r="C9" s="436">
        <f>-('P,R, BU'!D181)</f>
        <v>-872.671107507834</v>
      </c>
      <c r="D9" s="436">
        <f>-('P,R, BU'!E181)</f>
        <v>-946.33051306159</v>
      </c>
      <c r="E9" s="436">
        <f>-('P,R, BU'!F181)</f>
        <v>-983.7903744742545</v>
      </c>
      <c r="F9" s="436">
        <f>-('P,R, BU'!G181)</f>
        <v>-1017.4022955895086</v>
      </c>
      <c r="G9" s="436">
        <f>-('P,R, BU'!H181)</f>
        <v>-1044.2232684188734</v>
      </c>
    </row>
    <row r="10" spans="2:7" ht="12.75">
      <c r="B10" s="469" t="s">
        <v>246</v>
      </c>
      <c r="C10" s="424">
        <f>+'P,R, BU'!D176</f>
        <v>8866.957518322663</v>
      </c>
      <c r="D10" s="424">
        <f>+'P,R, BU'!E176</f>
        <v>9480.94531568836</v>
      </c>
      <c r="E10" s="424">
        <f>+'P,R, BU'!F176</f>
        <v>10137.75761707282</v>
      </c>
      <c r="F10" s="424">
        <f>+'P,R, BU'!G176</f>
        <v>10840.383709855094</v>
      </c>
      <c r="G10" s="424">
        <f>+'P,R, BU'!H176</f>
        <v>11592.02156108744</v>
      </c>
    </row>
    <row r="11" spans="2:7" ht="12.75">
      <c r="B11" s="470" t="s">
        <v>1073</v>
      </c>
      <c r="C11" s="417">
        <f>+C8+C9+C10</f>
        <v>14155.721464442213</v>
      </c>
      <c r="D11" s="417">
        <f>+D8+D9+D10</f>
        <v>15222.188467352411</v>
      </c>
      <c r="E11" s="417">
        <f>+E8+E9+E10</f>
        <v>16109.111345986097</v>
      </c>
      <c r="F11" s="417">
        <f>+F8+F9+F10</f>
        <v>17018.21066847636</v>
      </c>
      <c r="G11" s="417">
        <f>+G8+G9+G10</f>
        <v>17934.605924231946</v>
      </c>
    </row>
    <row r="12" spans="2:7" ht="12.75">
      <c r="B12" s="418"/>
      <c r="C12" s="424"/>
      <c r="D12" s="424"/>
      <c r="E12" s="424"/>
      <c r="F12" s="424"/>
      <c r="G12" s="424"/>
    </row>
    <row r="13" spans="2:7" ht="12.75">
      <c r="B13" s="469" t="s">
        <v>247</v>
      </c>
      <c r="C13" s="424">
        <f>-1*'Proj. sredstava'!J37</f>
        <v>-4041.768210663805</v>
      </c>
      <c r="D13" s="424">
        <f>-1*'Proj. sredstava'!K37</f>
        <v>-187.79079116599314</v>
      </c>
      <c r="E13" s="424">
        <f>-1*'Proj. sredstava'!L37</f>
        <v>-136.28180918357975</v>
      </c>
      <c r="F13" s="424">
        <f>-1*'Proj. sredstava'!M37</f>
        <v>-138.56903154021984</v>
      </c>
      <c r="G13" s="424">
        <f>-1*'Proj. sredstava'!N37</f>
        <v>-139.63200338501065</v>
      </c>
    </row>
    <row r="14" spans="2:7" ht="12.75">
      <c r="B14" s="469" t="s">
        <v>248</v>
      </c>
      <c r="C14" s="424">
        <f>+-1*('Proj. sredstava'!C48+'Proj. sredstava'!C54)</f>
        <v>-8866.957518322663</v>
      </c>
      <c r="D14" s="424">
        <f>+'Proj. sredstava'!C61-'Proj. sredstava'!D61</f>
        <v>-9480.945315688325</v>
      </c>
      <c r="E14" s="424">
        <f>+'Proj. sredstava'!D61-'Proj. sredstava'!E61</f>
        <v>-10137.757617072843</v>
      </c>
      <c r="F14" s="424">
        <f>+'Proj. sredstava'!E61-'Proj. sredstava'!F61</f>
        <v>-10840.383709855087</v>
      </c>
      <c r="G14" s="424">
        <f>+'Proj. sredstava'!F61-'Proj. sredstava'!G61</f>
        <v>-11592.02156108743</v>
      </c>
    </row>
    <row r="15" spans="2:7" ht="12.75">
      <c r="B15" s="469" t="s">
        <v>1074</v>
      </c>
      <c r="C15" s="424">
        <f>+Bilansi!Q12</f>
        <v>0</v>
      </c>
      <c r="D15" s="424"/>
      <c r="E15" s="424"/>
      <c r="F15" s="424"/>
      <c r="G15" s="424"/>
    </row>
    <row r="16" spans="2:7" ht="12.75">
      <c r="B16" s="470" t="s">
        <v>1075</v>
      </c>
      <c r="C16" s="417">
        <f>+SUM(C13:C15)</f>
        <v>-12908.725728986468</v>
      </c>
      <c r="D16" s="417">
        <f>+SUM(D13:D15)</f>
        <v>-9668.736106854318</v>
      </c>
      <c r="E16" s="417">
        <f>+SUM(E13:E15)</f>
        <v>-10274.039426256422</v>
      </c>
      <c r="F16" s="417">
        <f>+SUM(F13:F15)</f>
        <v>-10978.952741395307</v>
      </c>
      <c r="G16" s="417">
        <f>+SUM(G13:G15)</f>
        <v>-11731.653564472439</v>
      </c>
    </row>
    <row r="17" spans="2:7" ht="12.75">
      <c r="B17" s="419" t="s">
        <v>1076</v>
      </c>
      <c r="C17" s="417">
        <f>+C16+C11</f>
        <v>1246.9957354557446</v>
      </c>
      <c r="D17" s="417">
        <f>+D16+D11</f>
        <v>5553.452360498093</v>
      </c>
      <c r="E17" s="417">
        <f>+E16+E11</f>
        <v>5835.071919729675</v>
      </c>
      <c r="F17" s="417">
        <f>+F16+F11</f>
        <v>6039.257927081053</v>
      </c>
      <c r="G17" s="417">
        <f>+G16+G11</f>
        <v>6202.952359759507</v>
      </c>
    </row>
    <row r="18" spans="2:7" ht="12.75">
      <c r="B18" s="418"/>
      <c r="C18" s="424"/>
      <c r="D18" s="424"/>
      <c r="E18" s="424"/>
      <c r="F18" s="424"/>
      <c r="G18" s="424"/>
    </row>
    <row r="19" spans="2:7" ht="12.75">
      <c r="B19" s="469" t="s">
        <v>249</v>
      </c>
      <c r="C19" s="424">
        <f>-('P,R, BU'!D179)</f>
        <v>71.93</v>
      </c>
      <c r="D19" s="424">
        <f>-('P,R, BU'!E179)</f>
        <v>71.93</v>
      </c>
      <c r="E19" s="424">
        <f>-('P,R, BU'!F179)</f>
        <v>71.93</v>
      </c>
      <c r="F19" s="424">
        <f>-('P,R, BU'!G179)</f>
        <v>71.93</v>
      </c>
      <c r="G19" s="424">
        <f>-('P,R, BU'!H179)</f>
        <v>71.93</v>
      </c>
    </row>
    <row r="20" spans="2:7" ht="12.75">
      <c r="B20" s="469" t="s">
        <v>1077</v>
      </c>
      <c r="C20" s="424">
        <f>+'Proj. sredstava'!C72-'Proj. sredstava'!C70</f>
        <v>0</v>
      </c>
      <c r="D20" s="424">
        <f>+'Proj. sredstava'!D72-'Proj. sredstava'!D70</f>
        <v>0</v>
      </c>
      <c r="E20" s="424">
        <f>+'Proj. sredstava'!E72-'Proj. sredstava'!E70</f>
        <v>0</v>
      </c>
      <c r="F20" s="424">
        <f>+'Proj. sredstava'!F72-'Proj. sredstava'!F70</f>
        <v>0</v>
      </c>
      <c r="G20" s="424">
        <f>+'Proj. sredstava'!G72-'Proj. sredstava'!G70</f>
        <v>0</v>
      </c>
    </row>
    <row r="21" spans="2:7" ht="12.75">
      <c r="B21" s="469" t="s">
        <v>1078</v>
      </c>
      <c r="C21" s="424">
        <f>-1*'Proj. sredstava'!C77</f>
        <v>0</v>
      </c>
      <c r="D21" s="424">
        <f>-1*'Proj. sredstava'!D77</f>
        <v>0</v>
      </c>
      <c r="E21" s="424">
        <f>-1*'Proj. sredstava'!E77</f>
        <v>0</v>
      </c>
      <c r="F21" s="424">
        <f>-1*'Proj. sredstava'!F77</f>
        <v>0</v>
      </c>
      <c r="G21" s="424">
        <f>-1*'Proj. sredstava'!G77</f>
        <v>0</v>
      </c>
    </row>
    <row r="22" spans="2:7" ht="12.75">
      <c r="B22" s="470" t="s">
        <v>1079</v>
      </c>
      <c r="C22" s="417">
        <f>+SUM(C19:C21)</f>
        <v>71.93</v>
      </c>
      <c r="D22" s="417">
        <f>+SUM(D19:D21)</f>
        <v>71.93</v>
      </c>
      <c r="E22" s="417">
        <f>+SUM(E19:E21)</f>
        <v>71.93</v>
      </c>
      <c r="F22" s="417">
        <f>+SUM(F19:F21)</f>
        <v>71.93</v>
      </c>
      <c r="G22" s="417">
        <f>+SUM(G19:G21)</f>
        <v>71.93</v>
      </c>
    </row>
    <row r="23" spans="2:7" ht="12.75">
      <c r="B23" s="419"/>
      <c r="C23" s="417"/>
      <c r="D23" s="417"/>
      <c r="E23" s="417"/>
      <c r="F23" s="417"/>
      <c r="G23" s="417"/>
    </row>
    <row r="24" spans="2:7" ht="12.75">
      <c r="B24" s="419" t="s">
        <v>1080</v>
      </c>
      <c r="C24" s="417">
        <f>C17+C22</f>
        <v>1318.9257354557446</v>
      </c>
      <c r="D24" s="417">
        <f>D17+D22</f>
        <v>5625.3823604980935</v>
      </c>
      <c r="E24" s="417">
        <f>E17+E22</f>
        <v>5907.001919729675</v>
      </c>
      <c r="F24" s="417">
        <f>F17+F22</f>
        <v>6111.187927081053</v>
      </c>
      <c r="G24" s="417">
        <f>G17+G22</f>
        <v>6274.882359759507</v>
      </c>
    </row>
    <row r="25" spans="2:7" ht="12.75">
      <c r="B25" s="418"/>
      <c r="C25" s="424"/>
      <c r="D25" s="424"/>
      <c r="E25" s="424"/>
      <c r="F25" s="424"/>
      <c r="G25" s="424"/>
    </row>
    <row r="26" spans="2:7" ht="12.75">
      <c r="B26" s="418"/>
      <c r="C26" s="424">
        <f>C24</f>
        <v>1318.9257354557446</v>
      </c>
      <c r="D26" s="424">
        <f>D24+C26</f>
        <v>6944.308095953838</v>
      </c>
      <c r="E26" s="424">
        <f>E24+D26</f>
        <v>12851.310015683513</v>
      </c>
      <c r="F26" s="424">
        <f>F24+E26</f>
        <v>18962.497942764567</v>
      </c>
      <c r="G26" s="424">
        <f>G24+F26</f>
        <v>25237.380302524074</v>
      </c>
    </row>
    <row r="27" spans="2:7" ht="12.75">
      <c r="B27" s="20"/>
      <c r="C27" s="110"/>
      <c r="D27" s="110"/>
      <c r="E27" s="110"/>
      <c r="F27" s="110"/>
      <c r="G27" s="110"/>
    </row>
    <row r="28" spans="2:7" ht="12.75">
      <c r="B28" s="1" t="s">
        <v>170</v>
      </c>
      <c r="C28" s="12"/>
      <c r="D28" s="12"/>
      <c r="E28" s="12"/>
      <c r="F28" s="12"/>
      <c r="G28" s="12"/>
    </row>
    <row r="29" spans="2:7" ht="12.75">
      <c r="B29" s="468" t="s">
        <v>1441</v>
      </c>
      <c r="C29" s="416" t="s">
        <v>1441</v>
      </c>
      <c r="D29" s="12"/>
      <c r="E29" s="12"/>
      <c r="F29" s="12"/>
      <c r="G29" s="12"/>
    </row>
    <row r="30" spans="2:7" ht="12.75">
      <c r="B30" s="419"/>
      <c r="C30" s="417"/>
      <c r="D30" s="12"/>
      <c r="E30" s="12"/>
      <c r="F30" s="12"/>
      <c r="G30" s="12"/>
    </row>
    <row r="31" spans="2:7" ht="12.75">
      <c r="B31" s="418"/>
      <c r="C31" s="424"/>
      <c r="D31" s="12"/>
      <c r="E31" s="12"/>
      <c r="F31" s="12"/>
      <c r="G31" s="12"/>
    </row>
    <row r="32" spans="2:7" ht="12.75">
      <c r="B32" s="418" t="s">
        <v>171</v>
      </c>
      <c r="C32" s="424">
        <f>+G24</f>
        <v>6274.882359759507</v>
      </c>
      <c r="D32" s="12"/>
      <c r="E32" s="12"/>
      <c r="F32" s="12"/>
      <c r="G32" s="12"/>
    </row>
    <row r="33" spans="2:7" ht="12.75">
      <c r="B33" s="418" t="s">
        <v>97</v>
      </c>
      <c r="C33" s="423">
        <f>+Meni!C45</f>
        <v>0.02</v>
      </c>
      <c r="D33" s="12"/>
      <c r="E33" s="12"/>
      <c r="F33" s="12"/>
      <c r="G33" s="12"/>
    </row>
    <row r="34" spans="2:3" ht="12.75">
      <c r="B34" s="418" t="s">
        <v>172</v>
      </c>
      <c r="C34" s="471">
        <f>+C33+1</f>
        <v>1.02</v>
      </c>
    </row>
    <row r="35" spans="2:3" ht="12.75">
      <c r="B35" s="419" t="s">
        <v>173</v>
      </c>
      <c r="C35" s="424">
        <f>+C32*C34</f>
        <v>6400.380006954698</v>
      </c>
    </row>
  </sheetData>
  <sheetProtection/>
  <mergeCells count="1">
    <mergeCell ref="C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</dc:creator>
  <cp:keywords/>
  <dc:description/>
  <cp:lastModifiedBy>profesor</cp:lastModifiedBy>
  <cp:lastPrinted>2000-01-13T21:12:26Z</cp:lastPrinted>
  <dcterms:created xsi:type="dcterms:W3CDTF">2002-01-25T10:43:45Z</dcterms:created>
  <dcterms:modified xsi:type="dcterms:W3CDTF">2010-12-03T11:43:37Z</dcterms:modified>
  <cp:category/>
  <cp:version/>
  <cp:contentType/>
  <cp:contentStatus/>
</cp:coreProperties>
</file>